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260" windowHeight="6285" activeTab="0"/>
  </bookViews>
  <sheets>
    <sheet name="Main" sheetId="1" r:id="rId1"/>
    <sheet name="VectorCalculations" sheetId="2" r:id="rId2"/>
    <sheet name="Travel (2)" sheetId="3" r:id="rId3"/>
    <sheet name="Material" sheetId="4" r:id="rId4"/>
    <sheet name="Coordinate" sheetId="5" r:id="rId5"/>
    <sheet name="Plot" sheetId="6" r:id="rId6"/>
    <sheet name="Revision" sheetId="7" r:id="rId7"/>
  </sheets>
  <definedNames>
    <definedName name="Acceleration">'Material'!$C$2</definedName>
    <definedName name="Anti_Squat">'VectorCalculations'!$C$31</definedName>
    <definedName name="Front_Unsprung_Mass">'Main'!$C$8</definedName>
    <definedName name="IC_X">'VectorCalculations'!$C$35</definedName>
    <definedName name="IC_Z">'VectorCalculations'!$C$36</definedName>
    <definedName name="Infinity">'Plot'!$J$3</definedName>
    <definedName name="L_Force">'VectorCalculations'!$C$26</definedName>
    <definedName name="L_Length">'VectorCalculations'!$C$22</definedName>
    <definedName name="LA_X">'Main'!$G$8</definedName>
    <definedName name="LA_Y">'Main'!$H$8</definedName>
    <definedName name="LA_Z">'Main'!$I$8</definedName>
    <definedName name="LF_X">'Main'!$G$7</definedName>
    <definedName name="LF_Y">'Main'!$H$7</definedName>
    <definedName name="LF_Z">'Main'!$I$7</definedName>
    <definedName name="_xlnm.Print_Area" localSheetId="0">'Main'!$B$1:$N$19</definedName>
    <definedName name="_xlnm.Print_Area" localSheetId="3">'Material'!$B$1:$H$36</definedName>
    <definedName name="_xlnm.Print_Area" localSheetId="2">'Travel (2)'!$B$3:$N$28</definedName>
    <definedName name="_xlnm.Print_Area" localSheetId="1">'VectorCalculations'!$B$1:$M$21</definedName>
    <definedName name="Rear_Unsprung_Mass">'Main'!$C$9</definedName>
    <definedName name="Roll_Axis_Angle">'VectorCalculations'!$C$34</definedName>
    <definedName name="Roll_Center_Height">'VectorCalculations'!$C$33</definedName>
    <definedName name="solver_adj" localSheetId="2" hidden="1">'Travel (2)'!$I$7,'Travel (2)'!$K$7</definedName>
    <definedName name="solver_cvg" localSheetId="2" hidden="1">0.00001</definedName>
    <definedName name="solver_drv" localSheetId="2" hidden="1">1</definedName>
    <definedName name="solver_est" localSheetId="2" hidden="1">1</definedName>
    <definedName name="solver_itr" localSheetId="2" hidden="1">1000</definedName>
    <definedName name="solver_lhs1" localSheetId="2" hidden="1">'Travel (2)'!$I$10</definedName>
    <definedName name="solver_lhs10" localSheetId="2" hidden="1">'Travel (2)'!#REF!</definedName>
    <definedName name="solver_lhs11" localSheetId="2" hidden="1">'Travel (2)'!$K$7</definedName>
    <definedName name="solver_lhs12" localSheetId="2" hidden="1">'Travel (2)'!$K$7</definedName>
    <definedName name="solver_lhs13" localSheetId="2" hidden="1">'Travel (2)'!$I$10</definedName>
    <definedName name="solver_lhs14" localSheetId="2" hidden="1">'Travel (2)'!$K$7</definedName>
    <definedName name="solver_lhs15" localSheetId="2" hidden="1">'Travel (2)'!$I$10</definedName>
    <definedName name="solver_lhs16" localSheetId="2" hidden="1">'Travel (2)'!$K$7</definedName>
    <definedName name="solver_lhs17" localSheetId="2" hidden="1">'Travel (2)'!$I$10</definedName>
    <definedName name="solver_lhs18" localSheetId="2" hidden="1">'Travel (2)'!$K$7</definedName>
    <definedName name="solver_lhs19" localSheetId="2" hidden="1">'Travel (2)'!$I$10</definedName>
    <definedName name="solver_lhs2" localSheetId="2" hidden="1">'Travel (2)'!$K$7</definedName>
    <definedName name="solver_lhs20" localSheetId="2" hidden="1">'Travel (2)'!$K$7</definedName>
    <definedName name="solver_lhs21" localSheetId="2" hidden="1">'Travel (2)'!$I$10</definedName>
    <definedName name="solver_lhs22" localSheetId="2" hidden="1">'Travel (2)'!$K$7</definedName>
    <definedName name="solver_lhs23" localSheetId="2" hidden="1">'Travel (2)'!$I$10</definedName>
    <definedName name="solver_lhs24" localSheetId="2" hidden="1">'Travel (2)'!$K$7</definedName>
    <definedName name="solver_lhs25" localSheetId="2" hidden="1">'Travel (2)'!$I$10</definedName>
    <definedName name="solver_lhs26" localSheetId="2" hidden="1">'Travel (2)'!$K$7</definedName>
    <definedName name="solver_lhs27" localSheetId="2" hidden="1">'Travel (2)'!$I$10</definedName>
    <definedName name="solver_lhs28" localSheetId="2" hidden="1">'Travel (2)'!$K$7</definedName>
    <definedName name="solver_lhs29" localSheetId="2" hidden="1">'Travel (2)'!$I$10</definedName>
    <definedName name="solver_lhs3" localSheetId="2" hidden="1">'Travel (2)'!$I$10</definedName>
    <definedName name="solver_lhs30" localSheetId="2" hidden="1">'Travel (2)'!$K$7</definedName>
    <definedName name="solver_lhs31" localSheetId="2" hidden="1">'Travel (2)'!$I$10</definedName>
    <definedName name="solver_lhs32" localSheetId="2" hidden="1">'Travel (2)'!$K$7</definedName>
    <definedName name="solver_lhs4" localSheetId="2" hidden="1">'Travel (2)'!$K$7</definedName>
    <definedName name="solver_lhs5" localSheetId="2" hidden="1">'Travel (2)'!$K$7</definedName>
    <definedName name="solver_lhs6" localSheetId="2" hidden="1">'Travel (2)'!$K$7</definedName>
    <definedName name="solver_lhs7" localSheetId="2" hidden="1">'Travel (2)'!#REF!</definedName>
    <definedName name="solver_lhs8" localSheetId="2" hidden="1">'Travel (2)'!#REF!</definedName>
    <definedName name="solver_lhs9" localSheetId="2" hidden="1">'Travel (2)'!#REF!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'Travel (2)'!$I$11</definedName>
    <definedName name="solver_pre" localSheetId="2" hidden="1">0.0000001</definedName>
    <definedName name="solver_rel1" localSheetId="2" hidden="1">2</definedName>
    <definedName name="solver_rel10" localSheetId="2" hidden="1">1</definedName>
    <definedName name="solver_rel11" localSheetId="2" hidden="1">3</definedName>
    <definedName name="solver_rel12" localSheetId="2" hidden="1">3</definedName>
    <definedName name="solver_rel13" localSheetId="2" hidden="1">2</definedName>
    <definedName name="solver_rel14" localSheetId="2" hidden="1">3</definedName>
    <definedName name="solver_rel15" localSheetId="2" hidden="1">2</definedName>
    <definedName name="solver_rel16" localSheetId="2" hidden="1">3</definedName>
    <definedName name="solver_rel17" localSheetId="2" hidden="1">2</definedName>
    <definedName name="solver_rel18" localSheetId="2" hidden="1">3</definedName>
    <definedName name="solver_rel19" localSheetId="2" hidden="1">2</definedName>
    <definedName name="solver_rel2" localSheetId="2" hidden="1">3</definedName>
    <definedName name="solver_rel20" localSheetId="2" hidden="1">3</definedName>
    <definedName name="solver_rel21" localSheetId="2" hidden="1">2</definedName>
    <definedName name="solver_rel22" localSheetId="2" hidden="1">3</definedName>
    <definedName name="solver_rel23" localSheetId="2" hidden="1">2</definedName>
    <definedName name="solver_rel24" localSheetId="2" hidden="1">3</definedName>
    <definedName name="solver_rel25" localSheetId="2" hidden="1">2</definedName>
    <definedName name="solver_rel26" localSheetId="2" hidden="1">3</definedName>
    <definedName name="solver_rel27" localSheetId="2" hidden="1">2</definedName>
    <definedName name="solver_rel28" localSheetId="2" hidden="1">3</definedName>
    <definedName name="solver_rel29" localSheetId="2" hidden="1">2</definedName>
    <definedName name="solver_rel3" localSheetId="2" hidden="1">2</definedName>
    <definedName name="solver_rel30" localSheetId="2" hidden="1">3</definedName>
    <definedName name="solver_rel31" localSheetId="2" hidden="1">2</definedName>
    <definedName name="solver_rel32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2</definedName>
    <definedName name="solver_rel8" localSheetId="2" hidden="1">1</definedName>
    <definedName name="solver_rel9" localSheetId="2" hidden="1">2</definedName>
    <definedName name="solver_rhs1" localSheetId="2" hidden="1">'Travel (2)'!$C$10</definedName>
    <definedName name="solver_rhs10" localSheetId="2" hidden="1">'Travel (2)'!$E$7</definedName>
    <definedName name="solver_rhs11" localSheetId="2" hidden="1">'Travel (2)'!$E$7</definedName>
    <definedName name="solver_rhs12" localSheetId="2" hidden="1">'Travel (2)'!$E$7</definedName>
    <definedName name="solver_rhs13" localSheetId="2" hidden="1">'Travel (2)'!$C$10</definedName>
    <definedName name="solver_rhs14" localSheetId="2" hidden="1">'Travel (2)'!$E$7</definedName>
    <definedName name="solver_rhs15" localSheetId="2" hidden="1">'Travel (2)'!$C$10</definedName>
    <definedName name="solver_rhs16" localSheetId="2" hidden="1">'Travel (2)'!$E$7</definedName>
    <definedName name="solver_rhs17" localSheetId="2" hidden="1">'Travel (2)'!$C$10</definedName>
    <definedName name="solver_rhs18" localSheetId="2" hidden="1">'Travel (2)'!$E$7</definedName>
    <definedName name="solver_rhs19" localSheetId="2" hidden="1">'Travel (2)'!$C$10</definedName>
    <definedName name="solver_rhs2" localSheetId="2" hidden="1">'Travel (2)'!$E$7</definedName>
    <definedName name="solver_rhs20" localSheetId="2" hidden="1">'Travel (2)'!$E$7</definedName>
    <definedName name="solver_rhs21" localSheetId="2" hidden="1">'Travel (2)'!$C$10</definedName>
    <definedName name="solver_rhs22" localSheetId="2" hidden="1">'Travel (2)'!$E$7</definedName>
    <definedName name="solver_rhs23" localSheetId="2" hidden="1">'Travel (2)'!$C$10</definedName>
    <definedName name="solver_rhs24" localSheetId="2" hidden="1">'Travel (2)'!$E$7</definedName>
    <definedName name="solver_rhs25" localSheetId="2" hidden="1">'Travel (2)'!$C$10</definedName>
    <definedName name="solver_rhs26" localSheetId="2" hidden="1">'Travel (2)'!$E$7</definedName>
    <definedName name="solver_rhs27" localSheetId="2" hidden="1">'Travel (2)'!$C$10</definedName>
    <definedName name="solver_rhs28" localSheetId="2" hidden="1">'Travel (2)'!$E$7</definedName>
    <definedName name="solver_rhs29" localSheetId="2" hidden="1">'Travel (2)'!$C$10</definedName>
    <definedName name="solver_rhs3" localSheetId="2" hidden="1">'Travel (2)'!$C$10</definedName>
    <definedName name="solver_rhs30" localSheetId="2" hidden="1">'Travel (2)'!$E$7</definedName>
    <definedName name="solver_rhs31" localSheetId="2" hidden="1">'Travel (2)'!$C$10</definedName>
    <definedName name="solver_rhs32" localSheetId="2" hidden="1">'Travel (2)'!$E$7</definedName>
    <definedName name="solver_rhs4" localSheetId="2" hidden="1">'Travel (2)'!$E$7</definedName>
    <definedName name="solver_rhs5" localSheetId="2" hidden="1">'Travel (2)'!$E$7</definedName>
    <definedName name="solver_rhs6" localSheetId="2" hidden="1">'Travel (2)'!$E$7</definedName>
    <definedName name="solver_rhs7" localSheetId="2" hidden="1">'Travel (2)'!$C$10</definedName>
    <definedName name="solver_rhs8" localSheetId="2" hidden="1">'Travel (2)'!$E$7</definedName>
    <definedName name="solver_rhs9" localSheetId="2" hidden="1">'Travel (2)'!$C$10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0.001</definedName>
    <definedName name="solver_typ" localSheetId="2" hidden="1">3</definedName>
    <definedName name="solver_val" localSheetId="2" hidden="1">0</definedName>
    <definedName name="Tire_Diameter">'Main'!$C$4</definedName>
    <definedName name="Tire_Rolling_Radius">'Main'!$C$5</definedName>
    <definedName name="U_Force">'VectorCalculations'!$C$14</definedName>
    <definedName name="U_Length">'VectorCalculations'!$C$10</definedName>
    <definedName name="UA_X">'Main'!$G$5</definedName>
    <definedName name="UA_Y">'Main'!$H$5</definedName>
    <definedName name="UA_Z">'Main'!$I$5</definedName>
    <definedName name="UF_X">'Main'!$G$4</definedName>
    <definedName name="UF_Y">'Main'!$H$4</definedName>
    <definedName name="UF_Z">'Main'!$I$4</definedName>
    <definedName name="Vehicle_CG_Height">'Main'!$C$6</definedName>
    <definedName name="Vehicle_Mass">'Main'!$C$7</definedName>
    <definedName name="Wheelbase">'Main'!$C$3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8"/>
            <rFont val="Tahoma"/>
            <family val="0"/>
          </rPr>
          <t>See VectorCalculations sheet, top left, for Sprung Mass CG &amp; Anti-Squat CG calculations</t>
        </r>
      </text>
    </comment>
    <comment ref="G4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4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I4" authorId="0">
      <text>
        <r>
          <rPr>
            <b/>
            <sz val="8"/>
            <rFont val="Tahoma"/>
            <family val="0"/>
          </rPr>
          <t>Height from ground</t>
        </r>
      </text>
    </comment>
    <comment ref="G5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5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I5" authorId="0">
      <text>
        <r>
          <rPr>
            <b/>
            <sz val="8"/>
            <rFont val="Tahoma"/>
            <family val="0"/>
          </rPr>
          <t>Height from ground</t>
        </r>
      </text>
    </comment>
    <comment ref="G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7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I7" authorId="0">
      <text>
        <r>
          <rPr>
            <b/>
            <sz val="8"/>
            <rFont val="Tahoma"/>
            <family val="0"/>
          </rPr>
          <t>Height from ground</t>
        </r>
      </text>
    </comment>
    <comment ref="G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H8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I8" authorId="0">
      <text>
        <r>
          <rPr>
            <b/>
            <sz val="8"/>
            <rFont val="Tahoma"/>
            <family val="0"/>
          </rPr>
          <t>Height from ground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20" authorId="0">
      <text>
        <r>
          <rPr>
            <b/>
            <sz val="8"/>
            <rFont val="Tahoma"/>
            <family val="0"/>
          </rPr>
          <t>This is half (1/2) of your lower link horizontal separation at the axle end</t>
        </r>
      </text>
    </comment>
    <comment ref="D19" authorId="0">
      <text>
        <r>
          <rPr>
            <b/>
            <sz val="8"/>
            <rFont val="Tahoma"/>
            <family val="0"/>
          </rPr>
          <t>This is half (1/2) of your lower link horizontal separation at the frame</t>
        </r>
      </text>
    </comment>
    <comment ref="E19" authorId="0">
      <text>
        <r>
          <rPr>
            <b/>
            <sz val="8"/>
            <rFont val="Tahoma"/>
            <family val="0"/>
          </rPr>
          <t>Height from ground</t>
        </r>
      </text>
    </comment>
    <comment ref="E20" authorId="0">
      <text>
        <r>
          <rPr>
            <b/>
            <sz val="8"/>
            <rFont val="Tahoma"/>
            <family val="0"/>
          </rPr>
          <t>Height from ground</t>
        </r>
      </text>
    </comment>
    <comment ref="E7" authorId="0">
      <text>
        <r>
          <rPr>
            <b/>
            <sz val="8"/>
            <rFont val="Tahoma"/>
            <family val="0"/>
          </rPr>
          <t>Height from ground</t>
        </r>
      </text>
    </comment>
    <comment ref="E8" authorId="0">
      <text>
        <r>
          <rPr>
            <b/>
            <sz val="8"/>
            <rFont val="Tahoma"/>
            <family val="0"/>
          </rPr>
          <t>Height from ground</t>
        </r>
      </text>
    </comment>
    <comment ref="D7" authorId="0">
      <text>
        <r>
          <rPr>
            <b/>
            <sz val="8"/>
            <rFont val="Tahoma"/>
            <family val="0"/>
          </rPr>
          <t>This is half (1/2) of your upper link horizontal separation at the frame</t>
        </r>
      </text>
    </comment>
    <comment ref="D8" authorId="0">
      <text>
        <r>
          <rPr>
            <b/>
            <sz val="8"/>
            <rFont val="Tahoma"/>
            <family val="0"/>
          </rPr>
          <t>This is half (1/2) of your upper link horizontal separation at the axle</t>
        </r>
      </text>
    </comment>
    <comment ref="C19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20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7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8" authorId="0">
      <text>
        <r>
          <rPr>
            <b/>
            <sz val="8"/>
            <rFont val="Tahoma"/>
            <family val="0"/>
          </rPr>
          <t>Forward from rear axle centerline</t>
        </r>
      </text>
    </comment>
    <comment ref="C14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  <comment ref="C26" authorId="0">
      <text>
        <r>
          <rPr>
            <b/>
            <sz val="8"/>
            <rFont val="Tahoma"/>
            <family val="0"/>
          </rPr>
          <t>Note:
See 'Material' sheet for acceleration inut</t>
        </r>
      </text>
    </comment>
  </commentList>
</comments>
</file>

<file path=xl/sharedStrings.xml><?xml version="1.0" encoding="utf-8"?>
<sst xmlns="http://schemas.openxmlformats.org/spreadsheetml/2006/main" count="516" uniqueCount="195">
  <si>
    <t>y</t>
  </si>
  <si>
    <t>x</t>
  </si>
  <si>
    <t>Wheelbase</t>
  </si>
  <si>
    <t>Tire Diameter</t>
  </si>
  <si>
    <t>Upper Links</t>
  </si>
  <si>
    <t>z</t>
  </si>
  <si>
    <t>Lower Links</t>
  </si>
  <si>
    <t>%</t>
  </si>
  <si>
    <t>Anti-Squat</t>
  </si>
  <si>
    <t>in/in</t>
  </si>
  <si>
    <t>in</t>
  </si>
  <si>
    <t>lb</t>
  </si>
  <si>
    <t>in^4</t>
  </si>
  <si>
    <t>Vector</t>
  </si>
  <si>
    <t>Unit Vector</t>
  </si>
  <si>
    <t>Intercept</t>
  </si>
  <si>
    <t>Roll Point</t>
  </si>
  <si>
    <t>Link Force</t>
  </si>
  <si>
    <t>F.S. Yield</t>
  </si>
  <si>
    <t>F.S. Buckling</t>
  </si>
  <si>
    <t>F.S. Bending</t>
  </si>
  <si>
    <t>Rod End Rated Load</t>
  </si>
  <si>
    <t>F.S. Rod End</t>
  </si>
  <si>
    <t>Frame End</t>
  </si>
  <si>
    <t>Axle End</t>
  </si>
  <si>
    <t>Area</t>
  </si>
  <si>
    <t>Pbending</t>
  </si>
  <si>
    <t>Pyield</t>
  </si>
  <si>
    <t>Pbuckling</t>
  </si>
  <si>
    <t>in^2</t>
  </si>
  <si>
    <t>= Mess with these cells</t>
  </si>
  <si>
    <t>Instant Center X-Axis</t>
  </si>
  <si>
    <t>Vehicle Specifications:</t>
  </si>
  <si>
    <t>Suspension Geometry:</t>
  </si>
  <si>
    <t>Material Selection:</t>
  </si>
  <si>
    <t>Material Used</t>
  </si>
  <si>
    <t>Material Specifications:</t>
  </si>
  <si>
    <t>Elastic Modulus</t>
  </si>
  <si>
    <t>(psi)</t>
  </si>
  <si>
    <t>Yield</t>
  </si>
  <si>
    <t>Strength</t>
  </si>
  <si>
    <t>by</t>
  </si>
  <si>
    <t>Instant Center Z-Axis</t>
  </si>
  <si>
    <t>Link Length</t>
  </si>
  <si>
    <t>Cold Drawn</t>
  </si>
  <si>
    <t>Normalized</t>
  </si>
  <si>
    <t>Water Quenched and Tempered</t>
  </si>
  <si>
    <t>Oil Quenched &amp; Tempered</t>
  </si>
  <si>
    <t>Density</t>
  </si>
  <si>
    <t>(Lbs/in^3)</t>
  </si>
  <si>
    <t>Alum 6061-T6</t>
  </si>
  <si>
    <t>Alum 7075-T6</t>
  </si>
  <si>
    <t>Alum 2024-T6</t>
  </si>
  <si>
    <t>Titanium 6Al-4V</t>
  </si>
  <si>
    <t>6% Aluminum, 4% Vanadium</t>
  </si>
  <si>
    <t>Revision Control History</t>
  </si>
  <si>
    <t>Version</t>
  </si>
  <si>
    <t>Changes / Enhancements</t>
  </si>
  <si>
    <t>Date</t>
  </si>
  <si>
    <t>Corrections to the roll center calculation.</t>
  </si>
  <si>
    <t>Additional "unit" descriptors added.</t>
  </si>
  <si>
    <t>2003.12.05</t>
  </si>
  <si>
    <t>Link Weight</t>
  </si>
  <si>
    <t>Outside Diameter</t>
  </si>
  <si>
    <t>Wall Thickness</t>
  </si>
  <si>
    <t>Moment of Inertia</t>
  </si>
  <si>
    <t>Dan Barcroft</t>
  </si>
  <si>
    <t>Added Coordinate System Diagram Sheet</t>
  </si>
  <si>
    <t>Roll Axis Slope</t>
  </si>
  <si>
    <t>Roll Center Height</t>
  </si>
  <si>
    <t>Roll Axis Angle</t>
  </si>
  <si>
    <t>Front Tire</t>
  </si>
  <si>
    <t>Rear Tire</t>
  </si>
  <si>
    <t>IC Trace Lower</t>
  </si>
  <si>
    <t>IC Trace Upper</t>
  </si>
  <si>
    <t>Anti-Squat Line</t>
  </si>
  <si>
    <t>100% AS Line</t>
  </si>
  <si>
    <t>Side View</t>
  </si>
  <si>
    <t>Top View</t>
  </si>
  <si>
    <t>Roll Axis</t>
  </si>
  <si>
    <t>angle</t>
  </si>
  <si>
    <t>Added Graphical Display</t>
  </si>
  <si>
    <t>Flipped Coordinate System Drawing to Match Graphical Display</t>
  </si>
  <si>
    <t>2004.01.07</t>
  </si>
  <si>
    <t>Offset Up</t>
  </si>
  <si>
    <t>y'</t>
  </si>
  <si>
    <t>Tire Rolling Radius</t>
  </si>
  <si>
    <t>Geometry Summary:</t>
  </si>
  <si>
    <t>Horizontal Slope</t>
  </si>
  <si>
    <t>Vertical Slope</t>
  </si>
  <si>
    <t>Fixed Typos in comments</t>
  </si>
  <si>
    <t>Fixed Units in Material Specs</t>
  </si>
  <si>
    <t>Moved Cells and Removed Blank Lines</t>
  </si>
  <si>
    <r>
      <t>Length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-Length</t>
    </r>
    <r>
      <rPr>
        <vertAlign val="subscript"/>
        <sz val="10"/>
        <rFont val="Arial"/>
        <family val="2"/>
      </rPr>
      <t>1</t>
    </r>
  </si>
  <si>
    <t>Modulus of Elasticity</t>
  </si>
  <si>
    <t>Yield Strength</t>
  </si>
  <si>
    <t>psi</t>
  </si>
  <si>
    <t>lbm/in^3</t>
  </si>
  <si>
    <t>Static Geometry:</t>
  </si>
  <si>
    <t>Bump Geometry:</t>
  </si>
  <si>
    <t>Added Bump/Droop travel calculation sheet w/ macro</t>
  </si>
  <si>
    <t>Rearranged to make it less cluttered and more user friendly</t>
  </si>
  <si>
    <t>Rear Axle</t>
  </si>
  <si>
    <t>Steel 1018</t>
  </si>
  <si>
    <t>Steel 4130N</t>
  </si>
  <si>
    <t>Steel 4130T</t>
  </si>
  <si>
    <t>Steel 4340N</t>
  </si>
  <si>
    <t>Steel 4340T</t>
  </si>
  <si>
    <t>Length</t>
  </si>
  <si>
    <t>Force</t>
  </si>
  <si>
    <t>Force Vector</t>
  </si>
  <si>
    <t xml:space="preserve">F.S. Bending </t>
  </si>
  <si>
    <t>= Reference</t>
  </si>
  <si>
    <t>Separation</t>
  </si>
  <si>
    <t>(link stretching)</t>
  </si>
  <si>
    <t>(link buckling under braking)</t>
  </si>
  <si>
    <t>(somewhat irrelevant for an UPPER link)</t>
  </si>
  <si>
    <t>(rod end breaking)</t>
  </si>
  <si>
    <t>(link compressing)</t>
  </si>
  <si>
    <t>(link buckling under acceleration)</t>
  </si>
  <si>
    <t>(link bending w/ 1/2 the vehicle weight on it)</t>
  </si>
  <si>
    <t>Vehicle CG Height</t>
  </si>
  <si>
    <t>Rear Unsprung Mass</t>
  </si>
  <si>
    <t xml:space="preserve"> Vehicle Mass</t>
  </si>
  <si>
    <t>Infinity</t>
  </si>
  <si>
    <t>2004.12.04</t>
  </si>
  <si>
    <t>Sprung Mass CG</t>
  </si>
  <si>
    <t>Anti-Squat CG</t>
  </si>
  <si>
    <t>Vehicle CG</t>
  </si>
  <si>
    <t>Created 2004.12.04</t>
  </si>
  <si>
    <t>Changed all calculations that used CG to Anti-Squat CG</t>
  </si>
  <si>
    <t>Added Calculation of Sprung Mass CG &amp; Anti-Squat CG (CG - rear axle)</t>
  </si>
  <si>
    <t>4 Bar Linkage Calculator v3.0</t>
  </si>
  <si>
    <t>Fixed Errors When Bars are Parallel</t>
  </si>
  <si>
    <t>Added Automatic Display of Roll Understeer/Oversteer</t>
  </si>
  <si>
    <t>Saved as Excel 5.0/97 File</t>
  </si>
  <si>
    <t>Front Unsprung Mass</t>
  </si>
  <si>
    <t>Added driveshaft angle and plung calculations (not completed!)</t>
  </si>
  <si>
    <t>Fixed Anti-Squat CG Height Calculation</t>
  </si>
  <si>
    <t>2005.04.01</t>
  </si>
  <si>
    <t>3.0c</t>
  </si>
  <si>
    <t>Acceleration</t>
  </si>
  <si>
    <t>g</t>
  </si>
  <si>
    <t>triaged@gmail.com</t>
  </si>
  <si>
    <t>Note: All materials must be in alphabetical order.  Highlight blue area then sort ascending</t>
  </si>
  <si>
    <t>Travel</t>
  </si>
  <si>
    <t>A</t>
  </si>
  <si>
    <t>B</t>
  </si>
  <si>
    <t>C</t>
  </si>
  <si>
    <t>D</t>
  </si>
  <si>
    <t>X</t>
  </si>
  <si>
    <t>Y</t>
  </si>
  <si>
    <t>L1</t>
  </si>
  <si>
    <t>L2</t>
  </si>
  <si>
    <t>L3</t>
  </si>
  <si>
    <t>L4</t>
  </si>
  <si>
    <t>Travel:</t>
  </si>
  <si>
    <t>A1</t>
  </si>
  <si>
    <t>B1</t>
  </si>
  <si>
    <t>C1</t>
  </si>
  <si>
    <t>D1</t>
  </si>
  <si>
    <t>cross length:</t>
  </si>
  <si>
    <t>angle 1:</t>
  </si>
  <si>
    <t>angle 2:</t>
  </si>
  <si>
    <t>total angle:</t>
  </si>
  <si>
    <t>x-vector</t>
  </si>
  <si>
    <t>y-vector</t>
  </si>
  <si>
    <t>horizontal x</t>
  </si>
  <si>
    <t>vertical x</t>
  </si>
  <si>
    <t>angle from horizontal:</t>
  </si>
  <si>
    <t>angle of pinion line:</t>
  </si>
  <si>
    <t>angle2:</t>
  </si>
  <si>
    <t>static pinion line:</t>
  </si>
  <si>
    <t>Travel Amount</t>
  </si>
  <si>
    <t>pinion angle change:</t>
  </si>
  <si>
    <t>Travel Increment:</t>
  </si>
  <si>
    <t>pinion line</t>
  </si>
  <si>
    <t>Travel Anti-Squat:</t>
  </si>
  <si>
    <t>Static Anti-Squat</t>
  </si>
  <si>
    <t>Travel Roll Center:</t>
  </si>
  <si>
    <t>Travel Roll Axis:</t>
  </si>
  <si>
    <t>Travel Amount:</t>
  </si>
  <si>
    <t>Pinion Change:</t>
  </si>
  <si>
    <t>Changed travel calculations to not require solver add-in</t>
  </si>
  <si>
    <t>Added travel chart to front page</t>
  </si>
  <si>
    <t>Added travel specs to front page</t>
  </si>
  <si>
    <t>2007.05.08</t>
  </si>
  <si>
    <t>Revision by Chris Macock (Vetteboy79)</t>
  </si>
  <si>
    <t>Link Information</t>
  </si>
  <si>
    <t>Upper Length</t>
  </si>
  <si>
    <t>Lower Length</t>
  </si>
  <si>
    <t>Combined Angle</t>
  </si>
  <si>
    <t>Total Lower Angle</t>
  </si>
  <si>
    <t>Total Upper Angle</t>
  </si>
  <si>
    <t>Axle Vert Separation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</si>
</sst>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%"/>
    <numFmt numFmtId="170" formatCode="#,##0.000"/>
    <numFmt numFmtId="171" formatCode="#,##0.0"/>
    <numFmt numFmtId="172" formatCode="_(* #,##0.0_);_(* \(#,##0.0\);_(* &quot;-&quot;??_);_(@_)"/>
    <numFmt numFmtId="173" formatCode="_(* #,##0_);_(* \(#,##0\);_(* &quot;-&quot;??_);_(@_)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0000000"/>
    <numFmt numFmtId="179" formatCode="[$€-2]\ #,##0.00_);[Red]\([$€-2]\ #,##0.00\)"/>
    <numFmt numFmtId="180" formatCode="0.E+00"/>
    <numFmt numFmtId="181" formatCode="0.000E+00"/>
    <numFmt numFmtId="182" formatCode="0.000000000000000"/>
    <numFmt numFmtId="183" formatCode="0.00\°"/>
  </numFmts>
  <fonts count="60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Verdana"/>
      <family val="2"/>
    </font>
    <font>
      <b/>
      <u val="single"/>
      <sz val="12"/>
      <color indexed="9"/>
      <name val="Arial"/>
      <family val="2"/>
    </font>
    <font>
      <vertAlign val="subscript"/>
      <sz val="10"/>
      <name val="Arial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25"/>
      <color indexed="8"/>
      <name val="Arial"/>
      <family val="0"/>
    </font>
    <font>
      <sz val="10"/>
      <color indexed="8"/>
      <name val="Arial"/>
      <family val="0"/>
    </font>
    <font>
      <sz val="8.95"/>
      <color indexed="8"/>
      <name val="Arial"/>
      <family val="0"/>
    </font>
    <font>
      <sz val="8"/>
      <color indexed="8"/>
      <name val="Verdana"/>
      <family val="0"/>
    </font>
    <font>
      <sz val="11.75"/>
      <color indexed="8"/>
      <name val="Arial"/>
      <family val="0"/>
    </font>
    <font>
      <sz val="8"/>
      <color indexed="8"/>
      <name val="Arial"/>
      <family val="0"/>
    </font>
    <font>
      <sz val="20.75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4" fontId="0" fillId="0" borderId="0" xfId="0" applyNumberFormat="1" applyFont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170" fontId="0" fillId="33" borderId="1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4" fontId="0" fillId="0" borderId="14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left"/>
      <protection/>
    </xf>
    <xf numFmtId="4" fontId="0" fillId="0" borderId="14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center"/>
      <protection/>
    </xf>
    <xf numFmtId="4" fontId="0" fillId="0" borderId="15" xfId="0" applyNumberFormat="1" applyFont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 quotePrefix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0" fillId="34" borderId="0" xfId="0" applyFill="1" applyAlignment="1">
      <alignment horizontal="left"/>
    </xf>
    <xf numFmtId="166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12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horizontal="right"/>
      <protection/>
    </xf>
    <xf numFmtId="166" fontId="0" fillId="0" borderId="11" xfId="0" applyNumberFormat="1" applyFont="1" applyFill="1" applyBorder="1" applyAlignment="1" applyProtection="1">
      <alignment horizontal="right"/>
      <protection/>
    </xf>
    <xf numFmtId="166" fontId="0" fillId="0" borderId="14" xfId="0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 applyProtection="1">
      <alignment horizontal="left"/>
      <protection/>
    </xf>
    <xf numFmtId="4" fontId="0" fillId="33" borderId="0" xfId="0" applyNumberFormat="1" applyFont="1" applyFill="1" applyBorder="1" applyAlignment="1" applyProtection="1">
      <alignment/>
      <protection locked="0"/>
    </xf>
    <xf numFmtId="4" fontId="0" fillId="33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4" fontId="10" fillId="35" borderId="16" xfId="0" applyNumberFormat="1" applyFont="1" applyFill="1" applyBorder="1" applyAlignment="1" applyProtection="1">
      <alignment horizontal="right"/>
      <protection/>
    </xf>
    <xf numFmtId="166" fontId="0" fillId="0" borderId="17" xfId="0" applyNumberFormat="1" applyFont="1" applyFill="1" applyBorder="1" applyAlignment="1" applyProtection="1">
      <alignment horizontal="left"/>
      <protection/>
    </xf>
    <xf numFmtId="4" fontId="0" fillId="0" borderId="12" xfId="0" applyNumberFormat="1" applyFont="1" applyBorder="1" applyAlignment="1" applyProtection="1">
      <alignment horizontal="left"/>
      <protection/>
    </xf>
    <xf numFmtId="4" fontId="0" fillId="0" borderId="12" xfId="0" applyNumberFormat="1" applyFont="1" applyFill="1" applyBorder="1" applyAlignment="1" applyProtection="1" quotePrefix="1">
      <alignment horizontal="right"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left"/>
      <protection/>
    </xf>
    <xf numFmtId="4" fontId="4" fillId="0" borderId="12" xfId="0" applyNumberFormat="1" applyFont="1" applyBorder="1" applyAlignment="1" applyProtection="1">
      <alignment horizontal="left"/>
      <protection/>
    </xf>
    <xf numFmtId="4" fontId="4" fillId="0" borderId="12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/>
      <protection/>
    </xf>
    <xf numFmtId="4" fontId="10" fillId="36" borderId="16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/>
    </xf>
    <xf numFmtId="166" fontId="0" fillId="0" borderId="18" xfId="0" applyNumberFormat="1" applyFont="1" applyFill="1" applyBorder="1" applyAlignment="1" applyProtection="1">
      <alignment horizontal="left"/>
      <protection/>
    </xf>
    <xf numFmtId="4" fontId="10" fillId="36" borderId="14" xfId="0" applyNumberFormat="1" applyFont="1" applyFill="1" applyBorder="1" applyAlignment="1" applyProtection="1">
      <alignment horizontal="right"/>
      <protection/>
    </xf>
    <xf numFmtId="3" fontId="0" fillId="37" borderId="18" xfId="0" applyNumberFormat="1" applyFont="1" applyFill="1" applyBorder="1" applyAlignment="1" applyProtection="1">
      <alignment horizontal="right"/>
      <protection/>
    </xf>
    <xf numFmtId="3" fontId="0" fillId="37" borderId="0" xfId="0" applyNumberFormat="1" applyFont="1" applyFill="1" applyBorder="1" applyAlignment="1" applyProtection="1">
      <alignment horizontal="right"/>
      <protection/>
    </xf>
    <xf numFmtId="166" fontId="0" fillId="37" borderId="1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left"/>
      <protection/>
    </xf>
    <xf numFmtId="4" fontId="0" fillId="0" borderId="0" xfId="0" applyNumberFormat="1" applyFont="1" applyBorder="1" applyAlignment="1" applyProtection="1" quotePrefix="1">
      <alignment horizontal="left" wrapText="1"/>
      <protection/>
    </xf>
    <xf numFmtId="4" fontId="0" fillId="0" borderId="0" xfId="0" applyNumberFormat="1" applyFont="1" applyBorder="1" applyAlignment="1" applyProtection="1" quotePrefix="1">
      <alignment/>
      <protection/>
    </xf>
    <xf numFmtId="4" fontId="0" fillId="0" borderId="18" xfId="0" applyNumberFormat="1" applyFont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 horizontal="left"/>
      <protection/>
    </xf>
    <xf numFmtId="4" fontId="0" fillId="0" borderId="18" xfId="0" applyNumberFormat="1" applyFont="1" applyBorder="1" applyAlignment="1" applyProtection="1">
      <alignment horizontal="center"/>
      <protection/>
    </xf>
    <xf numFmtId="4" fontId="0" fillId="0" borderId="17" xfId="0" applyNumberFormat="1" applyFont="1" applyBorder="1" applyAlignment="1" applyProtection="1">
      <alignment horizontal="left"/>
      <protection/>
    </xf>
    <xf numFmtId="3" fontId="0" fillId="37" borderId="10" xfId="0" applyNumberFormat="1" applyFont="1" applyFill="1" applyBorder="1" applyAlignment="1" applyProtection="1">
      <alignment horizontal="right"/>
      <protection/>
    </xf>
    <xf numFmtId="2" fontId="0" fillId="34" borderId="15" xfId="0" applyNumberFormat="1" applyFill="1" applyBorder="1" applyAlignment="1">
      <alignment horizontal="left"/>
    </xf>
    <xf numFmtId="2" fontId="0" fillId="34" borderId="13" xfId="0" applyNumberFormat="1" applyFill="1" applyBorder="1" applyAlignment="1">
      <alignment horizontal="left"/>
    </xf>
    <xf numFmtId="2" fontId="0" fillId="34" borderId="14" xfId="0" applyNumberFormat="1" applyFill="1" applyBorder="1" applyAlignment="1">
      <alignment horizontal="left"/>
    </xf>
    <xf numFmtId="2" fontId="0" fillId="34" borderId="12" xfId="0" applyNumberFormat="1" applyFill="1" applyBorder="1" applyAlignment="1">
      <alignment horizontal="left"/>
    </xf>
    <xf numFmtId="4" fontId="5" fillId="0" borderId="0" xfId="0" applyNumberFormat="1" applyFont="1" applyBorder="1" applyAlignment="1" applyProtection="1">
      <alignment horizontal="left"/>
      <protection locked="0"/>
    </xf>
    <xf numFmtId="3" fontId="0" fillId="37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4" fontId="0" fillId="0" borderId="16" xfId="0" applyNumberFormat="1" applyFont="1" applyBorder="1" applyAlignment="1" applyProtection="1">
      <alignment horizontal="right"/>
      <protection/>
    </xf>
    <xf numFmtId="171" fontId="0" fillId="33" borderId="18" xfId="0" applyNumberFormat="1" applyFont="1" applyFill="1" applyBorder="1" applyAlignment="1" applyProtection="1">
      <alignment horizontal="right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3" fontId="0" fillId="38" borderId="18" xfId="0" applyNumberFormat="1" applyFont="1" applyFill="1" applyBorder="1" applyAlignment="1" applyProtection="1">
      <alignment/>
      <protection/>
    </xf>
    <xf numFmtId="3" fontId="0" fillId="39" borderId="0" xfId="0" applyNumberFormat="1" applyFont="1" applyFill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right"/>
      <protection/>
    </xf>
    <xf numFmtId="4" fontId="0" fillId="34" borderId="0" xfId="0" applyNumberFormat="1" applyFont="1" applyFill="1" applyBorder="1" applyAlignment="1" applyProtection="1">
      <alignment horizontal="center"/>
      <protection/>
    </xf>
    <xf numFmtId="4" fontId="5" fillId="34" borderId="0" xfId="0" applyNumberFormat="1" applyFont="1" applyFill="1" applyBorder="1" applyAlignment="1" applyProtection="1">
      <alignment horizontal="left"/>
      <protection/>
    </xf>
    <xf numFmtId="165" fontId="0" fillId="0" borderId="18" xfId="0" applyNumberFormat="1" applyFont="1" applyBorder="1" applyAlignment="1" applyProtection="1">
      <alignment horizontal="center"/>
      <protection/>
    </xf>
    <xf numFmtId="165" fontId="0" fillId="0" borderId="17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right"/>
      <protection/>
    </xf>
    <xf numFmtId="165" fontId="10" fillId="35" borderId="16" xfId="0" applyNumberFormat="1" applyFont="1" applyFill="1" applyBorder="1" applyAlignment="1" applyProtection="1">
      <alignment horizontal="right"/>
      <protection/>
    </xf>
    <xf numFmtId="165" fontId="0" fillId="0" borderId="17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12" xfId="0" applyNumberFormat="1" applyFont="1" applyBorder="1" applyAlignment="1" applyProtection="1">
      <alignment horizontal="left"/>
      <protection/>
    </xf>
    <xf numFmtId="165" fontId="0" fillId="0" borderId="14" xfId="0" applyNumberFormat="1" applyFont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Fill="1" applyBorder="1" applyAlignment="1" applyProtection="1">
      <alignment horizontal="right"/>
      <protection/>
    </xf>
    <xf numFmtId="165" fontId="0" fillId="0" borderId="14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165" fontId="0" fillId="0" borderId="12" xfId="0" applyNumberFormat="1" applyFont="1" applyBorder="1" applyAlignment="1" applyProtection="1">
      <alignment/>
      <protection/>
    </xf>
    <xf numFmtId="165" fontId="10" fillId="36" borderId="14" xfId="0" applyNumberFormat="1" applyFont="1" applyFill="1" applyBorder="1" applyAlignment="1" applyProtection="1">
      <alignment horizontal="right"/>
      <protection/>
    </xf>
    <xf numFmtId="165" fontId="0" fillId="0" borderId="10" xfId="0" applyNumberFormat="1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165" fontId="0" fillId="0" borderId="12" xfId="0" applyNumberFormat="1" applyFont="1" applyBorder="1" applyAlignment="1" applyProtection="1">
      <alignment/>
      <protection/>
    </xf>
    <xf numFmtId="165" fontId="0" fillId="0" borderId="11" xfId="0" applyNumberFormat="1" applyFont="1" applyBorder="1" applyAlignment="1" applyProtection="1">
      <alignment/>
      <protection/>
    </xf>
    <xf numFmtId="165" fontId="0" fillId="0" borderId="13" xfId="0" applyNumberFormat="1" applyFont="1" applyBorder="1" applyAlignment="1" applyProtection="1">
      <alignment/>
      <protection/>
    </xf>
    <xf numFmtId="165" fontId="0" fillId="0" borderId="15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/>
      <protection/>
    </xf>
    <xf numFmtId="166" fontId="0" fillId="0" borderId="15" xfId="0" applyNumberFormat="1" applyFont="1" applyFill="1" applyBorder="1" applyAlignment="1" applyProtection="1">
      <alignment horizontal="right"/>
      <protection/>
    </xf>
    <xf numFmtId="166" fontId="0" fillId="0" borderId="11" xfId="0" applyNumberFormat="1" applyFont="1" applyFill="1" applyBorder="1" applyAlignment="1" applyProtection="1">
      <alignment horizontal="left"/>
      <protection/>
    </xf>
    <xf numFmtId="165" fontId="0" fillId="37" borderId="0" xfId="0" applyNumberFormat="1" applyFont="1" applyFill="1" applyBorder="1" applyAlignment="1" applyProtection="1">
      <alignment/>
      <protection/>
    </xf>
    <xf numFmtId="165" fontId="0" fillId="37" borderId="0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 horizontal="left"/>
      <protection/>
    </xf>
    <xf numFmtId="165" fontId="0" fillId="0" borderId="15" xfId="0" applyNumberFormat="1" applyFont="1" applyFill="1" applyBorder="1" applyAlignment="1" applyProtection="1">
      <alignment horizontal="right"/>
      <protection/>
    </xf>
    <xf numFmtId="165" fontId="0" fillId="0" borderId="11" xfId="0" applyNumberFormat="1" applyFont="1" applyFill="1" applyBorder="1" applyAlignment="1" applyProtection="1">
      <alignment horizontal="left"/>
      <protection/>
    </xf>
    <xf numFmtId="165" fontId="0" fillId="0" borderId="11" xfId="0" applyNumberFormat="1" applyFont="1" applyFill="1" applyBorder="1" applyAlignment="1" applyProtection="1">
      <alignment horizontal="right"/>
      <protection/>
    </xf>
    <xf numFmtId="165" fontId="0" fillId="0" borderId="13" xfId="0" applyNumberFormat="1" applyFont="1" applyBorder="1" applyAlignment="1" applyProtection="1">
      <alignment horizontal="left"/>
      <protection/>
    </xf>
    <xf numFmtId="165" fontId="10" fillId="36" borderId="16" xfId="0" applyNumberFormat="1" applyFont="1" applyFill="1" applyBorder="1" applyAlignment="1" applyProtection="1">
      <alignment horizontal="right"/>
      <protection/>
    </xf>
    <xf numFmtId="165" fontId="0" fillId="0" borderId="16" xfId="0" applyNumberFormat="1" applyFont="1" applyBorder="1" applyAlignment="1" applyProtection="1">
      <alignment horizontal="right"/>
      <protection/>
    </xf>
    <xf numFmtId="165" fontId="0" fillId="0" borderId="18" xfId="0" applyNumberFormat="1" applyFont="1" applyFill="1" applyBorder="1" applyAlignment="1" applyProtection="1">
      <alignment/>
      <protection/>
    </xf>
    <xf numFmtId="165" fontId="0" fillId="0" borderId="18" xfId="0" applyNumberFormat="1" applyFont="1" applyBorder="1" applyAlignment="1" applyProtection="1">
      <alignment/>
      <protection/>
    </xf>
    <xf numFmtId="165" fontId="0" fillId="0" borderId="17" xfId="0" applyNumberFormat="1" applyFont="1" applyBorder="1" applyAlignment="1" applyProtection="1">
      <alignment/>
      <protection/>
    </xf>
    <xf numFmtId="166" fontId="0" fillId="0" borderId="11" xfId="0" applyNumberFormat="1" applyFont="1" applyFill="1" applyBorder="1" applyAlignment="1" applyProtection="1">
      <alignment/>
      <protection/>
    </xf>
    <xf numFmtId="166" fontId="0" fillId="0" borderId="13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/>
      <protection/>
    </xf>
    <xf numFmtId="165" fontId="0" fillId="37" borderId="10" xfId="0" applyNumberFormat="1" applyFont="1" applyFill="1" applyBorder="1" applyAlignment="1" applyProtection="1">
      <alignment horizontal="center"/>
      <protection/>
    </xf>
    <xf numFmtId="165" fontId="0" fillId="0" borderId="10" xfId="0" applyNumberFormat="1" applyFont="1" applyFill="1" applyBorder="1" applyAlignment="1" applyProtection="1">
      <alignment horizontal="center"/>
      <protection/>
    </xf>
    <xf numFmtId="4" fontId="0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 locked="0"/>
    </xf>
    <xf numFmtId="173" fontId="0" fillId="33" borderId="0" xfId="42" applyNumberFormat="1" applyFont="1" applyFill="1" applyBorder="1" applyAlignment="1" applyProtection="1">
      <alignment/>
      <protection locked="0"/>
    </xf>
    <xf numFmtId="166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4" fontId="0" fillId="33" borderId="12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left"/>
      <protection locked="0"/>
    </xf>
    <xf numFmtId="4" fontId="0" fillId="33" borderId="14" xfId="0" applyNumberFormat="1" applyFont="1" applyFill="1" applyBorder="1" applyAlignment="1" applyProtection="1">
      <alignment horizontal="right"/>
      <protection locked="0"/>
    </xf>
    <xf numFmtId="4" fontId="0" fillId="33" borderId="12" xfId="0" applyNumberFormat="1" applyFont="1" applyFill="1" applyBorder="1" applyAlignment="1" applyProtection="1">
      <alignment horizontal="right"/>
      <protection locked="0"/>
    </xf>
    <xf numFmtId="4" fontId="0" fillId="33" borderId="15" xfId="0" applyNumberFormat="1" applyFont="1" applyFill="1" applyBorder="1" applyAlignment="1" applyProtection="1">
      <alignment horizontal="right"/>
      <protection locked="0"/>
    </xf>
    <xf numFmtId="4" fontId="0" fillId="33" borderId="11" xfId="0" applyNumberFormat="1" applyFont="1" applyFill="1" applyBorder="1" applyAlignment="1" applyProtection="1">
      <alignment horizontal="right"/>
      <protection locked="0"/>
    </xf>
    <xf numFmtId="4" fontId="0" fillId="33" borderId="11" xfId="0" applyNumberFormat="1" applyFont="1" applyFill="1" applyBorder="1" applyAlignment="1" applyProtection="1">
      <alignment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6" fillId="34" borderId="0" xfId="0" applyFont="1" applyFill="1" applyAlignment="1" applyProtection="1">
      <alignment horizontal="left"/>
      <protection/>
    </xf>
    <xf numFmtId="0" fontId="8" fillId="34" borderId="21" xfId="0" applyFont="1" applyFill="1" applyBorder="1" applyAlignment="1" applyProtection="1">
      <alignment horizontal="left"/>
      <protection/>
    </xf>
    <xf numFmtId="0" fontId="8" fillId="34" borderId="21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7" fillId="34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left"/>
      <protection/>
    </xf>
    <xf numFmtId="0" fontId="2" fillId="34" borderId="0" xfId="0" applyFont="1" applyFill="1" applyAlignment="1" applyProtection="1">
      <alignment horizontal="left"/>
      <protection/>
    </xf>
    <xf numFmtId="0" fontId="7" fillId="34" borderId="22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166" fontId="0" fillId="0" borderId="10" xfId="0" applyNumberFormat="1" applyFont="1" applyFill="1" applyBorder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3" fontId="0" fillId="37" borderId="14" xfId="0" applyNumberFormat="1" applyFont="1" applyFill="1" applyBorder="1" applyAlignment="1" applyProtection="1">
      <alignment horizontal="right"/>
      <protection/>
    </xf>
    <xf numFmtId="174" fontId="0" fillId="0" borderId="14" xfId="0" applyNumberFormat="1" applyFont="1" applyFill="1" applyBorder="1" applyAlignment="1" applyProtection="1">
      <alignment horizontal="right"/>
      <protection/>
    </xf>
    <xf numFmtId="170" fontId="0" fillId="0" borderId="14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65" fontId="0" fillId="0" borderId="12" xfId="0" applyNumberFormat="1" applyFont="1" applyFill="1" applyBorder="1" applyAlignment="1" applyProtection="1">
      <alignment horizontal="left"/>
      <protection/>
    </xf>
    <xf numFmtId="2" fontId="0" fillId="34" borderId="0" xfId="0" applyNumberFormat="1" applyFill="1" applyAlignment="1">
      <alignment horizontal="left"/>
    </xf>
    <xf numFmtId="2" fontId="2" fillId="34" borderId="23" xfId="0" applyNumberFormat="1" applyFont="1" applyFill="1" applyBorder="1" applyAlignment="1">
      <alignment horizontal="left"/>
    </xf>
    <xf numFmtId="2" fontId="2" fillId="34" borderId="22" xfId="0" applyNumberFormat="1" applyFont="1" applyFill="1" applyBorder="1" applyAlignment="1">
      <alignment horizontal="left"/>
    </xf>
    <xf numFmtId="2" fontId="2" fillId="34" borderId="24" xfId="0" applyNumberFormat="1" applyFont="1" applyFill="1" applyBorder="1" applyAlignment="1">
      <alignment horizontal="left"/>
    </xf>
    <xf numFmtId="2" fontId="2" fillId="34" borderId="25" xfId="0" applyNumberFormat="1" applyFont="1" applyFill="1" applyBorder="1" applyAlignment="1">
      <alignment horizontal="left"/>
    </xf>
    <xf numFmtId="2" fontId="2" fillId="34" borderId="0" xfId="0" applyNumberFormat="1" applyFont="1" applyFill="1" applyAlignment="1">
      <alignment horizontal="left"/>
    </xf>
    <xf numFmtId="2" fontId="0" fillId="34" borderId="0" xfId="0" applyNumberFormat="1" applyFont="1" applyFill="1" applyBorder="1" applyAlignment="1" applyProtection="1">
      <alignment horizontal="center"/>
      <protection/>
    </xf>
    <xf numFmtId="2" fontId="12" fillId="34" borderId="0" xfId="0" applyNumberFormat="1" applyFont="1" applyFill="1" applyAlignment="1">
      <alignment horizontal="left" wrapText="1"/>
    </xf>
    <xf numFmtId="2" fontId="0" fillId="34" borderId="16" xfId="0" applyNumberFormat="1" applyFill="1" applyBorder="1" applyAlignment="1">
      <alignment horizontal="left"/>
    </xf>
    <xf numFmtId="2" fontId="0" fillId="34" borderId="17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34" borderId="23" xfId="0" applyNumberFormat="1" applyFill="1" applyBorder="1" applyAlignment="1">
      <alignment horizontal="left"/>
    </xf>
    <xf numFmtId="2" fontId="0" fillId="33" borderId="22" xfId="0" applyNumberFormat="1" applyFill="1" applyBorder="1" applyAlignment="1" applyProtection="1">
      <alignment horizontal="left"/>
      <protection locked="0"/>
    </xf>
    <xf numFmtId="2" fontId="0" fillId="34" borderId="24" xfId="0" applyNumberFormat="1" applyFill="1" applyBorder="1" applyAlignment="1">
      <alignment horizontal="left"/>
    </xf>
    <xf numFmtId="2" fontId="0" fillId="33" borderId="17" xfId="0" applyNumberFormat="1" applyFill="1" applyBorder="1" applyAlignment="1" applyProtection="1">
      <alignment horizontal="left"/>
      <protection locked="0"/>
    </xf>
    <xf numFmtId="2" fontId="0" fillId="34" borderId="0" xfId="0" applyNumberFormat="1" applyFill="1" applyBorder="1" applyAlignment="1">
      <alignment horizontal="left"/>
    </xf>
    <xf numFmtId="2" fontId="0" fillId="34" borderId="18" xfId="0" applyNumberFormat="1" applyFill="1" applyBorder="1" applyAlignment="1">
      <alignment horizontal="left"/>
    </xf>
    <xf numFmtId="2" fontId="0" fillId="34" borderId="11" xfId="0" applyNumberFormat="1" applyFill="1" applyBorder="1" applyAlignment="1">
      <alignment horizontal="left"/>
    </xf>
    <xf numFmtId="1" fontId="5" fillId="0" borderId="0" xfId="0" applyNumberFormat="1" applyFont="1" applyBorder="1" applyAlignment="1" applyProtection="1">
      <alignment horizontal="left"/>
      <protection/>
    </xf>
    <xf numFmtId="1" fontId="2" fillId="34" borderId="23" xfId="0" applyNumberFormat="1" applyFont="1" applyFill="1" applyBorder="1" applyAlignment="1">
      <alignment horizontal="left"/>
    </xf>
    <xf numFmtId="1" fontId="0" fillId="34" borderId="19" xfId="0" applyNumberFormat="1" applyFill="1" applyBorder="1" applyAlignment="1">
      <alignment horizontal="left"/>
    </xf>
    <xf numFmtId="1" fontId="0" fillId="34" borderId="25" xfId="0" applyNumberFormat="1" applyFill="1" applyBorder="1" applyAlignment="1">
      <alignment horizontal="left"/>
    </xf>
    <xf numFmtId="1" fontId="0" fillId="34" borderId="20" xfId="0" applyNumberFormat="1" applyFill="1" applyBorder="1" applyAlignment="1">
      <alignment horizontal="left"/>
    </xf>
    <xf numFmtId="1" fontId="0" fillId="34" borderId="0" xfId="0" applyNumberFormat="1" applyFill="1" applyAlignment="1">
      <alignment horizontal="left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2" fontId="0" fillId="37" borderId="0" xfId="0" applyNumberFormat="1" applyFont="1" applyFill="1" applyBorder="1" applyAlignment="1" applyProtection="1">
      <alignment/>
      <protection/>
    </xf>
    <xf numFmtId="164" fontId="2" fillId="34" borderId="11" xfId="0" applyNumberFormat="1" applyFont="1" applyFill="1" applyBorder="1" applyAlignment="1" applyProtection="1" quotePrefix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164" fontId="2" fillId="34" borderId="11" xfId="0" applyNumberFormat="1" applyFont="1" applyFill="1" applyBorder="1" applyAlignment="1" applyProtection="1">
      <alignment horizontal="left"/>
      <protection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 horizontal="left"/>
      <protection locked="0"/>
    </xf>
    <xf numFmtId="165" fontId="0" fillId="0" borderId="10" xfId="0" applyNumberFormat="1" applyFont="1" applyFill="1" applyBorder="1" applyAlignment="1" applyProtection="1">
      <alignment horizontal="right"/>
      <protection/>
    </xf>
    <xf numFmtId="4" fontId="0" fillId="34" borderId="11" xfId="0" applyNumberFormat="1" applyFont="1" applyFill="1" applyBorder="1" applyAlignment="1" applyProtection="1">
      <alignment horizontal="center"/>
      <protection/>
    </xf>
    <xf numFmtId="4" fontId="0" fillId="33" borderId="0" xfId="0" applyNumberFormat="1" applyFont="1" applyFill="1" applyAlignment="1" applyProtection="1">
      <alignment horizontal="right"/>
      <protection/>
    </xf>
    <xf numFmtId="4" fontId="13" fillId="0" borderId="0" xfId="53" applyNumberFormat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1" xfId="0" applyNumberFormat="1" applyFont="1" applyFill="1" applyBorder="1" applyAlignment="1" applyProtection="1">
      <alignment horizontal="right"/>
      <protection/>
    </xf>
    <xf numFmtId="165" fontId="0" fillId="0" borderId="18" xfId="0" applyNumberFormat="1" applyFont="1" applyBorder="1" applyAlignment="1" applyProtection="1">
      <alignment horizontal="left"/>
      <protection/>
    </xf>
    <xf numFmtId="166" fontId="0" fillId="0" borderId="0" xfId="0" applyNumberFormat="1" applyFont="1" applyBorder="1" applyAlignment="1" applyProtection="1">
      <alignment horizontal="left"/>
      <protection/>
    </xf>
    <xf numFmtId="2" fontId="0" fillId="34" borderId="25" xfId="0" applyNumberFormat="1" applyFill="1" applyBorder="1" applyAlignment="1">
      <alignment horizontal="left"/>
    </xf>
    <xf numFmtId="4" fontId="0" fillId="0" borderId="10" xfId="0" applyNumberFormat="1" applyFont="1" applyBorder="1" applyAlignment="1" applyProtection="1">
      <alignment/>
      <protection/>
    </xf>
    <xf numFmtId="165" fontId="0" fillId="34" borderId="0" xfId="0" applyNumberFormat="1" applyFill="1" applyAlignment="1">
      <alignment horizontal="left"/>
    </xf>
    <xf numFmtId="4" fontId="0" fillId="40" borderId="0" xfId="0" applyNumberFormat="1" applyFont="1" applyFill="1" applyBorder="1" applyAlignment="1" applyProtection="1">
      <alignment horizontal="right"/>
      <protection/>
    </xf>
    <xf numFmtId="4" fontId="0" fillId="40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 horizontal="right"/>
      <protection/>
    </xf>
    <xf numFmtId="166" fontId="0" fillId="0" borderId="18" xfId="0" applyNumberFormat="1" applyFont="1" applyFill="1" applyBorder="1" applyAlignment="1" applyProtection="1">
      <alignment horizontal="right"/>
      <protection/>
    </xf>
    <xf numFmtId="9" fontId="0" fillId="38" borderId="17" xfId="0" applyNumberFormat="1" applyFont="1" applyFill="1" applyBorder="1" applyAlignment="1" applyProtection="1">
      <alignment/>
      <protection/>
    </xf>
    <xf numFmtId="4" fontId="0" fillId="40" borderId="12" xfId="0" applyNumberFormat="1" applyFont="1" applyFill="1" applyBorder="1" applyAlignment="1" applyProtection="1">
      <alignment/>
      <protection/>
    </xf>
    <xf numFmtId="4" fontId="0" fillId="37" borderId="12" xfId="0" applyNumberFormat="1" applyFont="1" applyFill="1" applyBorder="1" applyAlignment="1" applyProtection="1">
      <alignment/>
      <protection/>
    </xf>
    <xf numFmtId="4" fontId="0" fillId="33" borderId="13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183" fontId="0" fillId="40" borderId="12" xfId="0" applyNumberFormat="1" applyFont="1" applyFill="1" applyBorder="1" applyAlignment="1" applyProtection="1">
      <alignment/>
      <protection/>
    </xf>
    <xf numFmtId="183" fontId="0" fillId="39" borderId="12" xfId="0" applyNumberFormat="1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/>
    </xf>
    <xf numFmtId="4" fontId="2" fillId="0" borderId="0" xfId="0" applyNumberFormat="1" applyFont="1" applyBorder="1" applyAlignment="1" applyProtection="1">
      <alignment horizontal="left" wrapText="1"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0" fillId="38" borderId="0" xfId="0" applyNumberFormat="1" applyFont="1" applyFill="1" applyBorder="1" applyAlignment="1" applyProtection="1">
      <alignment/>
      <protection/>
    </xf>
    <xf numFmtId="4" fontId="2" fillId="39" borderId="0" xfId="0" applyNumberFormat="1" applyFont="1" applyFill="1" applyBorder="1" applyAlignment="1" applyProtection="1">
      <alignment/>
      <protection/>
    </xf>
    <xf numFmtId="4" fontId="2" fillId="41" borderId="0" xfId="0" applyNumberFormat="1" applyFont="1" applyFill="1" applyBorder="1" applyAlignment="1" applyProtection="1">
      <alignment horizontal="center"/>
      <protection locked="0"/>
    </xf>
    <xf numFmtId="4" fontId="0" fillId="42" borderId="0" xfId="0" applyNumberFormat="1" applyFont="1" applyFill="1" applyBorder="1" applyAlignment="1" applyProtection="1">
      <alignment/>
      <protection/>
    </xf>
    <xf numFmtId="4" fontId="2" fillId="42" borderId="0" xfId="0" applyNumberFormat="1" applyFont="1" applyFill="1" applyBorder="1" applyAlignment="1" applyProtection="1">
      <alignment/>
      <protection/>
    </xf>
    <xf numFmtId="165" fontId="2" fillId="0" borderId="10" xfId="0" applyNumberFormat="1" applyFont="1" applyFill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 quotePrefix="1">
      <alignment horizontal="left"/>
      <protection/>
    </xf>
    <xf numFmtId="165" fontId="3" fillId="0" borderId="11" xfId="0" applyNumberFormat="1" applyFont="1" applyBorder="1" applyAlignment="1" applyProtection="1">
      <alignment horizontal="left"/>
      <protection/>
    </xf>
    <xf numFmtId="165" fontId="3" fillId="0" borderId="22" xfId="0" applyNumberFormat="1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0" fillId="0" borderId="14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0" fillId="0" borderId="12" xfId="0" applyNumberFormat="1" applyFont="1" applyFill="1" applyBorder="1" applyAlignment="1" applyProtection="1">
      <alignment horizontal="left"/>
      <protection/>
    </xf>
    <xf numFmtId="4" fontId="3" fillId="0" borderId="14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  <xf numFmtId="165" fontId="3" fillId="0" borderId="14" xfId="0" applyNumberFormat="1" applyFont="1" applyBorder="1" applyAlignment="1" applyProtection="1">
      <alignment horizontal="left"/>
      <protection/>
    </xf>
    <xf numFmtId="165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0.86625"/>
          <c:h val="0.97325"/>
        </c:manualLayout>
      </c:layout>
      <c:scatterChart>
        <c:scatterStyle val="lineMarker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>
                <c:ptCount val="2"/>
                <c:pt idx="0">
                  <c:v>29.5</c:v>
                </c:pt>
                <c:pt idx="1">
                  <c:v>3.5</c:v>
                </c:pt>
              </c:numCache>
            </c:numRef>
          </c:xVal>
          <c:yVal>
            <c:numRef>
              <c:f>Plot!$N$18:$N$19</c:f>
              <c:numCache>
                <c:ptCount val="2"/>
                <c:pt idx="0">
                  <c:v>94</c:v>
                </c:pt>
                <c:pt idx="1">
                  <c:v>99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>
                <c:ptCount val="2"/>
                <c:pt idx="0">
                  <c:v>29.5</c:v>
                </c:pt>
                <c:pt idx="1">
                  <c:v>3.5</c:v>
                </c:pt>
              </c:numCache>
            </c:numRef>
          </c:xVal>
          <c:yVal>
            <c:numRef>
              <c:f>Plot!$N$20:$N$21</c:f>
              <c:numCache>
                <c:ptCount val="2"/>
                <c:pt idx="0">
                  <c:v>66</c:v>
                </c:pt>
                <c:pt idx="1">
                  <c:v>61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Plot!$N$8:$N$9</c:f>
              <c:numCache>
                <c:ptCount val="2"/>
                <c:pt idx="0">
                  <c:v>66.5</c:v>
                </c:pt>
                <c:pt idx="1">
                  <c:v>74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Plot!$N$6:$N$7</c:f>
              <c:numCache>
                <c:ptCount val="2"/>
                <c:pt idx="0">
                  <c:v>93.5</c:v>
                </c:pt>
                <c:pt idx="1">
                  <c:v>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>
                <c:ptCount val="4"/>
                <c:pt idx="0">
                  <c:v>0</c:v>
                </c:pt>
                <c:pt idx="1">
                  <c:v>-16</c:v>
                </c:pt>
                <c:pt idx="2">
                  <c:v>-16</c:v>
                </c:pt>
                <c:pt idx="3">
                  <c:v>0</c:v>
                </c:pt>
              </c:numCache>
            </c:numRef>
          </c:xVal>
          <c:yVal>
            <c:numRef>
              <c:f>Plot!$N$12:$N$15</c:f>
              <c:numCache>
                <c:ptCount val="4"/>
                <c:pt idx="0">
                  <c:v>86</c:v>
                </c:pt>
                <c:pt idx="1">
                  <c:v>80</c:v>
                </c:pt>
                <c:pt idx="2">
                  <c:v>80</c:v>
                </c:pt>
                <c:pt idx="3">
                  <c:v>74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>
                <c:ptCount val="4"/>
                <c:pt idx="0">
                  <c:v>29.5</c:v>
                </c:pt>
                <c:pt idx="1">
                  <c:v>102.3</c:v>
                </c:pt>
                <c:pt idx="2">
                  <c:v>102.3</c:v>
                </c:pt>
                <c:pt idx="3">
                  <c:v>29.5</c:v>
                </c:pt>
              </c:numCache>
            </c:numRef>
          </c:xVal>
          <c:yVal>
            <c:numRef>
              <c:f>Plot!$N$24:$N$27</c:f>
              <c:numCache>
                <c:ptCount val="4"/>
                <c:pt idx="0">
                  <c:v>94</c:v>
                </c:pt>
                <c:pt idx="1">
                  <c:v>80</c:v>
                </c:pt>
                <c:pt idx="2">
                  <c:v>80</c:v>
                </c:pt>
                <c:pt idx="3">
                  <c:v>66</c:v>
                </c:pt>
              </c:numCache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>
                <c:ptCount val="25"/>
                <c:pt idx="0">
                  <c:v>101</c:v>
                </c:pt>
                <c:pt idx="1">
                  <c:v>96.47066671070588</c:v>
                </c:pt>
                <c:pt idx="2">
                  <c:v>92.25</c:v>
                </c:pt>
                <c:pt idx="3">
                  <c:v>88.62563132923542</c:v>
                </c:pt>
                <c:pt idx="4">
                  <c:v>85.84455543377233</c:v>
                </c:pt>
                <c:pt idx="5">
                  <c:v>84.0962980399413</c:v>
                </c:pt>
                <c:pt idx="6">
                  <c:v>83.5</c:v>
                </c:pt>
                <c:pt idx="7">
                  <c:v>84.0962980399413</c:v>
                </c:pt>
                <c:pt idx="8">
                  <c:v>85.84455543377233</c:v>
                </c:pt>
                <c:pt idx="9">
                  <c:v>88.62563132923542</c:v>
                </c:pt>
                <c:pt idx="10">
                  <c:v>92.25</c:v>
                </c:pt>
                <c:pt idx="11">
                  <c:v>96.47066671070588</c:v>
                </c:pt>
                <c:pt idx="12">
                  <c:v>101</c:v>
                </c:pt>
                <c:pt idx="13">
                  <c:v>105.52933328929412</c:v>
                </c:pt>
                <c:pt idx="14">
                  <c:v>109.75</c:v>
                </c:pt>
                <c:pt idx="15">
                  <c:v>113.37436867076458</c:v>
                </c:pt>
                <c:pt idx="16">
                  <c:v>116.15544456622767</c:v>
                </c:pt>
                <c:pt idx="17">
                  <c:v>117.9037019600587</c:v>
                </c:pt>
                <c:pt idx="18">
                  <c:v>118.5</c:v>
                </c:pt>
                <c:pt idx="19">
                  <c:v>117.9037019600587</c:v>
                </c:pt>
                <c:pt idx="20">
                  <c:v>116.15544456622767</c:v>
                </c:pt>
                <c:pt idx="21">
                  <c:v>113.37436867076458</c:v>
                </c:pt>
                <c:pt idx="22">
                  <c:v>109.75</c:v>
                </c:pt>
                <c:pt idx="23">
                  <c:v>105.52933328929412</c:v>
                </c:pt>
                <c:pt idx="24">
                  <c:v>101</c:v>
                </c:pt>
              </c:numCache>
            </c:numRef>
          </c:xVal>
          <c:yVal>
            <c:numRef>
              <c:f>Plot!$D$5:$D$29</c:f>
              <c:numCache>
                <c:ptCount val="25"/>
                <c:pt idx="0">
                  <c:v>0</c:v>
                </c:pt>
                <c:pt idx="1">
                  <c:v>0.09629803994130626</c:v>
                </c:pt>
                <c:pt idx="2">
                  <c:v>1.8445554337723227</c:v>
                </c:pt>
                <c:pt idx="3">
                  <c:v>4.625631329235418</c:v>
                </c:pt>
                <c:pt idx="4">
                  <c:v>8.249999999999998</c:v>
                </c:pt>
                <c:pt idx="5">
                  <c:v>12.470666710705887</c:v>
                </c:pt>
                <c:pt idx="6">
                  <c:v>17</c:v>
                </c:pt>
                <c:pt idx="7">
                  <c:v>21.529333289294115</c:v>
                </c:pt>
                <c:pt idx="8">
                  <c:v>25.749999999999996</c:v>
                </c:pt>
                <c:pt idx="9">
                  <c:v>29.374368670764582</c:v>
                </c:pt>
                <c:pt idx="10">
                  <c:v>32.15544456622768</c:v>
                </c:pt>
                <c:pt idx="11">
                  <c:v>33.9037019600587</c:v>
                </c:pt>
                <c:pt idx="12">
                  <c:v>34.5</c:v>
                </c:pt>
                <c:pt idx="13">
                  <c:v>33.9037019600587</c:v>
                </c:pt>
                <c:pt idx="14">
                  <c:v>32.15544456622767</c:v>
                </c:pt>
                <c:pt idx="15">
                  <c:v>29.374368670764582</c:v>
                </c:pt>
                <c:pt idx="16">
                  <c:v>25.750000000000007</c:v>
                </c:pt>
                <c:pt idx="17">
                  <c:v>21.52933328929411</c:v>
                </c:pt>
                <c:pt idx="18">
                  <c:v>17.000000000000004</c:v>
                </c:pt>
                <c:pt idx="19">
                  <c:v>12.470666710705895</c:v>
                </c:pt>
                <c:pt idx="20">
                  <c:v>8.249999999999998</c:v>
                </c:pt>
                <c:pt idx="21">
                  <c:v>4.625631329235421</c:v>
                </c:pt>
                <c:pt idx="22">
                  <c:v>1.844555433772328</c:v>
                </c:pt>
                <c:pt idx="23">
                  <c:v>0.09629803994130626</c:v>
                </c:pt>
                <c:pt idx="2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>
                <c:ptCount val="25"/>
                <c:pt idx="0">
                  <c:v>0</c:v>
                </c:pt>
                <c:pt idx="1">
                  <c:v>4.529333289294113</c:v>
                </c:pt>
                <c:pt idx="2">
                  <c:v>8.749999999999998</c:v>
                </c:pt>
                <c:pt idx="3">
                  <c:v>12.37436867076458</c:v>
                </c:pt>
                <c:pt idx="4">
                  <c:v>15.155444566227676</c:v>
                </c:pt>
                <c:pt idx="5">
                  <c:v>16.903701960058694</c:v>
                </c:pt>
                <c:pt idx="6">
                  <c:v>17.5</c:v>
                </c:pt>
                <c:pt idx="7">
                  <c:v>16.903701960058694</c:v>
                </c:pt>
                <c:pt idx="8">
                  <c:v>15.155444566227677</c:v>
                </c:pt>
                <c:pt idx="9">
                  <c:v>12.374368670764582</c:v>
                </c:pt>
                <c:pt idx="10">
                  <c:v>8.749999999999998</c:v>
                </c:pt>
                <c:pt idx="11">
                  <c:v>4.529333289294118</c:v>
                </c:pt>
                <c:pt idx="12">
                  <c:v>2.144009796090085E-15</c:v>
                </c:pt>
                <c:pt idx="13">
                  <c:v>-4.529333289294114</c:v>
                </c:pt>
                <c:pt idx="14">
                  <c:v>-8.750000000000002</c:v>
                </c:pt>
                <c:pt idx="15">
                  <c:v>-12.37436867076458</c:v>
                </c:pt>
                <c:pt idx="16">
                  <c:v>-15.155444566227672</c:v>
                </c:pt>
                <c:pt idx="17">
                  <c:v>-16.903701960058694</c:v>
                </c:pt>
                <c:pt idx="18">
                  <c:v>-17.5</c:v>
                </c:pt>
                <c:pt idx="19">
                  <c:v>-16.903701960058697</c:v>
                </c:pt>
                <c:pt idx="20">
                  <c:v>-15.155444566227676</c:v>
                </c:pt>
                <c:pt idx="21">
                  <c:v>-12.374368670764584</c:v>
                </c:pt>
                <c:pt idx="22">
                  <c:v>-8.750000000000007</c:v>
                </c:pt>
                <c:pt idx="23">
                  <c:v>-4.529333289294112</c:v>
                </c:pt>
                <c:pt idx="24">
                  <c:v>-4.28801959218017E-15</c:v>
                </c:pt>
              </c:numCache>
            </c:numRef>
          </c:xVal>
          <c:yVal>
            <c:numRef>
              <c:f>Plot!$F$5:$F$29</c:f>
              <c:numCache>
                <c:ptCount val="25"/>
                <c:pt idx="0">
                  <c:v>0</c:v>
                </c:pt>
                <c:pt idx="1">
                  <c:v>0.09629803994130626</c:v>
                </c:pt>
                <c:pt idx="2">
                  <c:v>1.8445554337723227</c:v>
                </c:pt>
                <c:pt idx="3">
                  <c:v>4.625631329235418</c:v>
                </c:pt>
                <c:pt idx="4">
                  <c:v>8.249999999999998</c:v>
                </c:pt>
                <c:pt idx="5">
                  <c:v>12.470666710705887</c:v>
                </c:pt>
                <c:pt idx="6">
                  <c:v>17</c:v>
                </c:pt>
                <c:pt idx="7">
                  <c:v>21.529333289294115</c:v>
                </c:pt>
                <c:pt idx="8">
                  <c:v>25.749999999999996</c:v>
                </c:pt>
                <c:pt idx="9">
                  <c:v>29.374368670764582</c:v>
                </c:pt>
                <c:pt idx="10">
                  <c:v>32.15544456622768</c:v>
                </c:pt>
                <c:pt idx="11">
                  <c:v>33.9037019600587</c:v>
                </c:pt>
                <c:pt idx="12">
                  <c:v>34.5</c:v>
                </c:pt>
                <c:pt idx="13">
                  <c:v>33.9037019600587</c:v>
                </c:pt>
                <c:pt idx="14">
                  <c:v>32.15544456622767</c:v>
                </c:pt>
                <c:pt idx="15">
                  <c:v>29.374368670764582</c:v>
                </c:pt>
                <c:pt idx="16">
                  <c:v>25.750000000000007</c:v>
                </c:pt>
                <c:pt idx="17">
                  <c:v>21.52933328929411</c:v>
                </c:pt>
                <c:pt idx="18">
                  <c:v>17.000000000000004</c:v>
                </c:pt>
                <c:pt idx="19">
                  <c:v>12.470666710705895</c:v>
                </c:pt>
                <c:pt idx="20">
                  <c:v>8.249999999999998</c:v>
                </c:pt>
                <c:pt idx="21">
                  <c:v>4.625631329235421</c:v>
                </c:pt>
                <c:pt idx="22">
                  <c:v>1.844555433772328</c:v>
                </c:pt>
                <c:pt idx="23">
                  <c:v>0.09629803994130626</c:v>
                </c:pt>
                <c:pt idx="24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/>
            </c:numRef>
          </c:xVal>
          <c:yVal>
            <c:numRef>
              <c:f>Main!$I$4:$I$5</c:f>
              <c:numCache/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/>
            </c:numRef>
          </c:xVal>
          <c:yVal>
            <c:numRef>
              <c:f>Main!$I$7:$I$8</c:f>
              <c:numCache/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>
                <c:ptCount val="2"/>
                <c:pt idx="0">
                  <c:v>20</c:v>
                </c:pt>
                <c:pt idx="1">
                  <c:v>47.670454545454554</c:v>
                </c:pt>
              </c:numCache>
            </c:numRef>
          </c:xVal>
          <c:yVal>
            <c:numRef>
              <c:f>Plot!$H$5:$H$6</c:f>
              <c:numCache>
                <c:ptCount val="2"/>
                <c:pt idx="0">
                  <c:v>22</c:v>
                </c:pt>
                <c:pt idx="1">
                  <c:v>17.849431818181817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>
                <c:ptCount val="2"/>
                <c:pt idx="0">
                  <c:v>29.5</c:v>
                </c:pt>
                <c:pt idx="1">
                  <c:v>47.670454545454554</c:v>
                </c:pt>
              </c:numCache>
            </c:numRef>
          </c:xVal>
          <c:yVal>
            <c:numRef>
              <c:f>Plot!$H$9:$H$10</c:f>
              <c:numCache>
                <c:ptCount val="2"/>
                <c:pt idx="0">
                  <c:v>17.5</c:v>
                </c:pt>
                <c:pt idx="1">
                  <c:v>17.849431818181817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>
                <c:ptCount val="3"/>
                <c:pt idx="0">
                  <c:v>0</c:v>
                </c:pt>
                <c:pt idx="1">
                  <c:v>47.670454545454554</c:v>
                </c:pt>
                <c:pt idx="2">
                  <c:v>101</c:v>
                </c:pt>
              </c:numCache>
            </c:numRef>
          </c:xVal>
          <c:yVal>
            <c:numRef>
              <c:f>Plot!$H$13:$H$15</c:f>
              <c:numCache>
                <c:ptCount val="3"/>
                <c:pt idx="0">
                  <c:v>0</c:v>
                </c:pt>
                <c:pt idx="1">
                  <c:v>17.849431818181817</c:v>
                </c:pt>
                <c:pt idx="2">
                  <c:v>37.81781883194278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Plot!$H$18:$H$19</c:f>
              <c:numCache>
                <c:ptCount val="2"/>
                <c:pt idx="0">
                  <c:v>37.83870967741935</c:v>
                </c:pt>
                <c:pt idx="1">
                  <c:v>37.83870967741935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>
                <c:ptCount val="2"/>
                <c:pt idx="0">
                  <c:v>0</c:v>
                </c:pt>
                <c:pt idx="1">
                  <c:v>101</c:v>
                </c:pt>
              </c:numCache>
            </c:numRef>
          </c:xVal>
          <c:yVal>
            <c:numRef>
              <c:f>Plot!$H$22:$H$23</c:f>
              <c:numCache>
                <c:ptCount val="2"/>
                <c:pt idx="0">
                  <c:v>0</c:v>
                </c:pt>
                <c:pt idx="1">
                  <c:v>37.83870967741935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Plot!$G$26:$G$28</c:f>
              <c:numCache>
                <c:ptCount val="3"/>
                <c:pt idx="0">
                  <c:v>-16</c:v>
                </c:pt>
                <c:pt idx="1">
                  <c:v>0</c:v>
                </c:pt>
                <c:pt idx="2">
                  <c:v>102.3</c:v>
                </c:pt>
              </c:numCache>
            </c:numRef>
          </c:xVal>
          <c:yVal>
            <c:numRef>
              <c:f>Plot!$H$26:$H$28</c:f>
              <c:numCache>
                <c:ptCount val="3"/>
                <c:pt idx="0">
                  <c:v>27.4</c:v>
                </c:pt>
                <c:pt idx="1">
                  <c:v>26.250380388841926</c:v>
                </c:pt>
                <c:pt idx="2">
                  <c:v>18.9</c:v>
                </c:pt>
              </c:numCache>
            </c:numRef>
          </c:yVal>
          <c:smooth val="0"/>
        </c:ser>
        <c:ser>
          <c:idx val="16"/>
          <c:order val="16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Plot!$H$27</c:f>
              <c:numCache>
                <c:ptCount val="1"/>
                <c:pt idx="0">
                  <c:v>26.250380388841926</c:v>
                </c:pt>
              </c:numCache>
            </c:numRef>
          </c:yVal>
          <c:smooth val="0"/>
        </c:ser>
        <c:ser>
          <c:idx val="17"/>
          <c:order val="17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47.670454545454554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17.849431818181817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>
                <c:ptCount val="13"/>
                <c:pt idx="0">
                  <c:v>0</c:v>
                </c:pt>
                <c:pt idx="1">
                  <c:v>0.9999999999999999</c:v>
                </c:pt>
                <c:pt idx="2">
                  <c:v>1.7320508075688772</c:v>
                </c:pt>
                <c:pt idx="3">
                  <c:v>2</c:v>
                </c:pt>
                <c:pt idx="4">
                  <c:v>1.7320508075688774</c:v>
                </c:pt>
                <c:pt idx="5">
                  <c:v>0.9999999999999999</c:v>
                </c:pt>
                <c:pt idx="6">
                  <c:v>2.45029690981724E-16</c:v>
                </c:pt>
                <c:pt idx="7">
                  <c:v>-1.0000000000000002</c:v>
                </c:pt>
                <c:pt idx="8">
                  <c:v>-1.7320508075688767</c:v>
                </c:pt>
                <c:pt idx="9">
                  <c:v>-2</c:v>
                </c:pt>
                <c:pt idx="10">
                  <c:v>-1.7320508075688772</c:v>
                </c:pt>
                <c:pt idx="11">
                  <c:v>-1.0000000000000009</c:v>
                </c:pt>
                <c:pt idx="12">
                  <c:v>-4.90059381963448E-16</c:v>
                </c:pt>
              </c:numCache>
            </c:numRef>
          </c:xVal>
          <c:yVal>
            <c:numRef>
              <c:f>Plot!$J$6:$J$18</c:f>
              <c:numCache>
                <c:ptCount val="13"/>
                <c:pt idx="0">
                  <c:v>19</c:v>
                </c:pt>
                <c:pt idx="1">
                  <c:v>18.73205080756888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15.267949192431123</c:v>
                </c:pt>
                <c:pt idx="6">
                  <c:v>15</c:v>
                </c:pt>
                <c:pt idx="7">
                  <c:v>15.267949192431123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18.732050807568875</c:v>
                </c:pt>
                <c:pt idx="12">
                  <c:v>19</c:v>
                </c:pt>
              </c:numCache>
            </c:numRef>
          </c:yVal>
          <c:smooth val="0"/>
        </c:ser>
        <c:axId val="45706728"/>
        <c:axId val="8707369"/>
      </c:scatterChart>
      <c:valAx>
        <c:axId val="45706728"/>
        <c:scaling>
          <c:orientation val="minMax"/>
          <c:max val="140"/>
          <c:min val="-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369"/>
        <c:crossesAt val="0"/>
        <c:crossBetween val="midCat"/>
        <c:dispUnits/>
        <c:majorUnit val="20"/>
        <c:minorUnit val="5"/>
      </c:valAx>
      <c:valAx>
        <c:axId val="8707369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706728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5775"/>
          <c:y val="0.0865"/>
          <c:w val="0.13975"/>
          <c:h val="0.8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Travel</a:t>
            </a:r>
          </a:p>
        </c:rich>
      </c:tx>
      <c:layout>
        <c:manualLayout>
          <c:xMode val="factor"/>
          <c:yMode val="factor"/>
          <c:x val="0.32825"/>
          <c:y val="0.1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115"/>
          <c:w val="0.945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v>Lower Links (travel)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>
                <c:ptCount val="2"/>
                <c:pt idx="0">
                  <c:v>29.5</c:v>
                </c:pt>
                <c:pt idx="1">
                  <c:v>3.5</c:v>
                </c:pt>
              </c:numCache>
            </c:numRef>
          </c:xVal>
          <c:yVal>
            <c:numRef>
              <c:f>'Travel (2)'!$K$20:$K$21</c:f>
              <c:numCache>
                <c:ptCount val="2"/>
                <c:pt idx="0">
                  <c:v>17.5</c:v>
                </c:pt>
                <c:pt idx="1">
                  <c:v>17</c:v>
                </c:pt>
              </c:numCache>
            </c:numRef>
          </c:yVal>
          <c:smooth val="0"/>
        </c:ser>
        <c:ser>
          <c:idx val="1"/>
          <c:order val="1"/>
          <c:tx>
            <c:v>Upper Links (travel)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'Travel (2)'!$K$6:$K$7</c:f>
              <c:numCache>
                <c:ptCount val="2"/>
                <c:pt idx="0">
                  <c:v>22</c:v>
                </c:pt>
                <c:pt idx="1">
                  <c:v>25</c:v>
                </c:pt>
              </c:numCache>
            </c:numRef>
          </c:yVal>
          <c:smooth val="0"/>
        </c:ser>
        <c:ser>
          <c:idx val="2"/>
          <c:order val="2"/>
          <c:tx>
            <c:v>Axle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>
                <c:ptCount val="13"/>
                <c:pt idx="0">
                  <c:v>0</c:v>
                </c:pt>
                <c:pt idx="1">
                  <c:v>0.8749999999999999</c:v>
                </c:pt>
                <c:pt idx="2">
                  <c:v>1.5155444566227676</c:v>
                </c:pt>
                <c:pt idx="3">
                  <c:v>1.75</c:v>
                </c:pt>
                <c:pt idx="4">
                  <c:v>1.5155444566227678</c:v>
                </c:pt>
                <c:pt idx="5">
                  <c:v>0.8749999999999999</c:v>
                </c:pt>
                <c:pt idx="6">
                  <c:v>2.144009796090085E-16</c:v>
                </c:pt>
                <c:pt idx="7">
                  <c:v>-0.8750000000000002</c:v>
                </c:pt>
                <c:pt idx="8">
                  <c:v>-1.5155444566227672</c:v>
                </c:pt>
                <c:pt idx="9">
                  <c:v>-1.75</c:v>
                </c:pt>
                <c:pt idx="10">
                  <c:v>-1.5155444566227676</c:v>
                </c:pt>
                <c:pt idx="11">
                  <c:v>-0.8750000000000008</c:v>
                </c:pt>
                <c:pt idx="12">
                  <c:v>-4.28801959218017E-16</c:v>
                </c:pt>
              </c:numCache>
            </c:numRef>
          </c:xVal>
          <c:yVal>
            <c:numRef>
              <c:f>'Travel (2)'!$K$41:$K$53</c:f>
              <c:numCache>
                <c:ptCount val="13"/>
                <c:pt idx="0">
                  <c:v>18.75</c:v>
                </c:pt>
                <c:pt idx="1">
                  <c:v>18.515544456622766</c:v>
                </c:pt>
                <c:pt idx="2">
                  <c:v>17.875</c:v>
                </c:pt>
                <c:pt idx="3">
                  <c:v>17</c:v>
                </c:pt>
                <c:pt idx="4">
                  <c:v>16.125</c:v>
                </c:pt>
                <c:pt idx="5">
                  <c:v>15.484455543377232</c:v>
                </c:pt>
                <c:pt idx="6">
                  <c:v>15.25</c:v>
                </c:pt>
                <c:pt idx="7">
                  <c:v>15.484455543377232</c:v>
                </c:pt>
                <c:pt idx="8">
                  <c:v>16.125</c:v>
                </c:pt>
                <c:pt idx="9">
                  <c:v>17</c:v>
                </c:pt>
                <c:pt idx="10">
                  <c:v>17.875</c:v>
                </c:pt>
                <c:pt idx="11">
                  <c:v>18.515544456622766</c:v>
                </c:pt>
                <c:pt idx="12">
                  <c:v>18.75</c:v>
                </c:pt>
              </c:numCache>
            </c:numRef>
          </c:yVal>
          <c:smooth val="0"/>
        </c:ser>
        <c:ser>
          <c:idx val="3"/>
          <c:order val="3"/>
          <c:tx>
            <c:v>Tire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>
                <c:ptCount val="25"/>
                <c:pt idx="0">
                  <c:v>0</c:v>
                </c:pt>
                <c:pt idx="1">
                  <c:v>4.529333289294113</c:v>
                </c:pt>
                <c:pt idx="2">
                  <c:v>8.749999999999998</c:v>
                </c:pt>
                <c:pt idx="3">
                  <c:v>12.37436867076458</c:v>
                </c:pt>
                <c:pt idx="4">
                  <c:v>15.155444566227676</c:v>
                </c:pt>
                <c:pt idx="5">
                  <c:v>16.903701960058694</c:v>
                </c:pt>
                <c:pt idx="6">
                  <c:v>17.5</c:v>
                </c:pt>
                <c:pt idx="7">
                  <c:v>16.903701960058694</c:v>
                </c:pt>
                <c:pt idx="8">
                  <c:v>15.155444566227677</c:v>
                </c:pt>
                <c:pt idx="9">
                  <c:v>12.374368670764582</c:v>
                </c:pt>
                <c:pt idx="10">
                  <c:v>8.749999999999998</c:v>
                </c:pt>
                <c:pt idx="11">
                  <c:v>4.529333289294118</c:v>
                </c:pt>
                <c:pt idx="12">
                  <c:v>2.144009796090085E-15</c:v>
                </c:pt>
                <c:pt idx="13">
                  <c:v>-4.529333289294114</c:v>
                </c:pt>
                <c:pt idx="14">
                  <c:v>-8.750000000000002</c:v>
                </c:pt>
                <c:pt idx="15">
                  <c:v>-12.37436867076458</c:v>
                </c:pt>
                <c:pt idx="16">
                  <c:v>-15.155444566227672</c:v>
                </c:pt>
                <c:pt idx="17">
                  <c:v>-16.903701960058694</c:v>
                </c:pt>
                <c:pt idx="18">
                  <c:v>-17.5</c:v>
                </c:pt>
                <c:pt idx="19">
                  <c:v>-16.903701960058697</c:v>
                </c:pt>
                <c:pt idx="20">
                  <c:v>-15.155444566227676</c:v>
                </c:pt>
                <c:pt idx="21">
                  <c:v>-12.374368670764584</c:v>
                </c:pt>
                <c:pt idx="22">
                  <c:v>-8.750000000000007</c:v>
                </c:pt>
                <c:pt idx="23">
                  <c:v>-4.529333289294112</c:v>
                </c:pt>
                <c:pt idx="24">
                  <c:v>-4.28801959218017E-15</c:v>
                </c:pt>
              </c:numCache>
            </c:numRef>
          </c:xVal>
          <c:yVal>
            <c:numRef>
              <c:f>'Travel (2)'!$F$40:$F$64</c:f>
              <c:numCache>
                <c:ptCount val="25"/>
                <c:pt idx="0">
                  <c:v>0</c:v>
                </c:pt>
                <c:pt idx="1">
                  <c:v>0.09629803994130626</c:v>
                </c:pt>
                <c:pt idx="2">
                  <c:v>1.8445554337723227</c:v>
                </c:pt>
                <c:pt idx="3">
                  <c:v>4.625631329235418</c:v>
                </c:pt>
                <c:pt idx="4">
                  <c:v>8.249999999999998</c:v>
                </c:pt>
                <c:pt idx="5">
                  <c:v>12.470666710705887</c:v>
                </c:pt>
                <c:pt idx="6">
                  <c:v>17</c:v>
                </c:pt>
                <c:pt idx="7">
                  <c:v>21.529333289294115</c:v>
                </c:pt>
                <c:pt idx="8">
                  <c:v>25.749999999999996</c:v>
                </c:pt>
                <c:pt idx="9">
                  <c:v>29.374368670764582</c:v>
                </c:pt>
                <c:pt idx="10">
                  <c:v>32.15544456622768</c:v>
                </c:pt>
                <c:pt idx="11">
                  <c:v>33.9037019600587</c:v>
                </c:pt>
                <c:pt idx="12">
                  <c:v>34.5</c:v>
                </c:pt>
                <c:pt idx="13">
                  <c:v>33.9037019600587</c:v>
                </c:pt>
                <c:pt idx="14">
                  <c:v>32.15544456622767</c:v>
                </c:pt>
                <c:pt idx="15">
                  <c:v>29.374368670764582</c:v>
                </c:pt>
                <c:pt idx="16">
                  <c:v>25.750000000000007</c:v>
                </c:pt>
                <c:pt idx="17">
                  <c:v>21.52933328929411</c:v>
                </c:pt>
                <c:pt idx="18">
                  <c:v>17.000000000000004</c:v>
                </c:pt>
                <c:pt idx="19">
                  <c:v>12.470666710705895</c:v>
                </c:pt>
                <c:pt idx="20">
                  <c:v>8.249999999999998</c:v>
                </c:pt>
                <c:pt idx="21">
                  <c:v>4.625631329235421</c:v>
                </c:pt>
                <c:pt idx="22">
                  <c:v>1.844555433772328</c:v>
                </c:pt>
                <c:pt idx="23">
                  <c:v>0.09629803994130626</c:v>
                </c:pt>
                <c:pt idx="2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AS CoG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'Travel (2)'!$H$53:$H$54</c:f>
              <c:numCache>
                <c:ptCount val="2"/>
                <c:pt idx="0">
                  <c:v>-20</c:v>
                </c:pt>
                <c:pt idx="1">
                  <c:v>120</c:v>
                </c:pt>
              </c:numCache>
            </c:numRef>
          </c:xVal>
          <c:yVal>
            <c:numRef>
              <c:f>'Travel (2)'!$I$53:$I$54</c:f>
              <c:numCache>
                <c:ptCount val="2"/>
                <c:pt idx="0">
                  <c:v>37.83870967741935</c:v>
                </c:pt>
                <c:pt idx="1">
                  <c:v>37.83870967741935</c:v>
                </c:pt>
              </c:numCache>
            </c:numRef>
          </c:yVal>
          <c:smooth val="0"/>
        </c:ser>
        <c:axId val="11257458"/>
        <c:axId val="34208259"/>
      </c:scatterChart>
      <c:valAx>
        <c:axId val="11257458"/>
        <c:scaling>
          <c:orientation val="minMax"/>
          <c:max val="10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08259"/>
        <c:crosses val="autoZero"/>
        <c:crossBetween val="midCat"/>
        <c:dispUnits/>
      </c:valAx>
      <c:valAx>
        <c:axId val="3420825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1257458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25"/>
          <c:w val="0.97025"/>
          <c:h val="0.962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(2)'!$L$53:$L$54</c:f>
              <c:numCache/>
            </c:numRef>
          </c:xVal>
          <c:yVal>
            <c:numRef>
              <c:f>'Travel (2)'!$N$53:$N$54</c:f>
              <c:numCache/>
            </c:numRef>
          </c:yVal>
          <c:smooth val="0"/>
        </c:ser>
        <c:ser>
          <c:idx val="3"/>
          <c:order val="1"/>
          <c:tx>
            <c:strRef>
              <c:f>'Travel (2)'!$L$51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(2)'!$L$55:$L$56</c:f>
              <c:numCache/>
            </c:numRef>
          </c:xVal>
          <c:yVal>
            <c:numRef>
              <c:f>'Travel (2)'!$N$55:$N$56</c:f>
              <c:numCache/>
            </c:numRef>
          </c:yVal>
          <c:smooth val="0"/>
        </c:ser>
        <c:ser>
          <c:idx val="1"/>
          <c:order val="2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(2)'!$L$43:$L$44</c:f>
              <c:numCache/>
            </c:numRef>
          </c:xVal>
          <c:yVal>
            <c:numRef>
              <c:f>'Travel (2)'!$N$43:$N$44</c:f>
              <c:numCache/>
            </c:numRef>
          </c:yVal>
          <c:smooth val="0"/>
        </c:ser>
        <c:ser>
          <c:idx val="0"/>
          <c:order val="3"/>
          <c:tx>
            <c:strRef>
              <c:f>'Travel (2)'!$L$39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(2)'!$L$41:$L$42</c:f>
              <c:numCache/>
            </c:numRef>
          </c:xVal>
          <c:yVal>
            <c:numRef>
              <c:f>'Travel (2)'!$N$41:$N$42</c:f>
              <c:numCache/>
            </c:numRef>
          </c:yVal>
          <c:smooth val="0"/>
        </c:ser>
        <c:ser>
          <c:idx val="4"/>
          <c:order val="4"/>
          <c:tx>
            <c:strRef>
              <c:f>'Travel (2)'!$L$45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(2)'!$L$47:$L$50</c:f>
              <c:numCache/>
            </c:numRef>
          </c:xVal>
          <c:yVal>
            <c:numRef>
              <c:f>'Travel (2)'!$N$47:$N$50</c:f>
              <c:numCache/>
            </c:numRef>
          </c:yVal>
          <c:smooth val="0"/>
        </c:ser>
        <c:ser>
          <c:idx val="5"/>
          <c:order val="5"/>
          <c:tx>
            <c:strRef>
              <c:f>'Travel (2)'!$L$57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(2)'!$L$59:$L$62</c:f>
              <c:numCache/>
            </c:numRef>
          </c:xVal>
          <c:yVal>
            <c:numRef>
              <c:f>'Travel (2)'!$N$59:$N$62</c:f>
              <c:numCache/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(2)'!$C$40:$C$64</c:f>
              <c:numCache/>
            </c:numRef>
          </c:xVal>
          <c:yVal>
            <c:numRef>
              <c:f>'Travel (2)'!$D$40:$D$64</c:f>
              <c:numCache/>
            </c:numRef>
          </c:yVal>
          <c:smooth val="1"/>
        </c:ser>
        <c:ser>
          <c:idx val="7"/>
          <c:order val="7"/>
          <c:tx>
            <c:strRef>
              <c:f>'Travel (2)'!$E$38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(2)'!$E$40:$E$64</c:f>
              <c:numCache/>
            </c:numRef>
          </c:xVal>
          <c:yVal>
            <c:numRef>
              <c:f>'Travel (2)'!$F$40:$F$64</c:f>
              <c:numCache/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'Travel (2)'!$I$6:$I$7</c:f>
              <c:numCache/>
            </c:numRef>
          </c:xVal>
          <c:yVal>
            <c:numRef>
              <c:f>'Travel (2)'!$K$6:$K$7</c:f>
              <c:numCache/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'Travel (2)'!$I$20:$I$21</c:f>
              <c:numCache/>
            </c:numRef>
          </c:xVal>
          <c:yVal>
            <c:numRef>
              <c:f>'Travel (2)'!$K$20:$K$21</c:f>
              <c:numCache/>
            </c:numRef>
          </c:yVal>
          <c:smooth val="0"/>
        </c:ser>
        <c:ser>
          <c:idx val="10"/>
          <c:order val="10"/>
          <c:tx>
            <c:strRef>
              <c:f>'Travel (2)'!$H$38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(2)'!$H$40:$H$41</c:f>
              <c:numCache/>
            </c:numRef>
          </c:xVal>
          <c:yVal>
            <c:numRef>
              <c:f>'Travel (2)'!$I$40:$I$41</c:f>
              <c:numCache/>
            </c:numRef>
          </c:yVal>
          <c:smooth val="0"/>
        </c:ser>
        <c:ser>
          <c:idx val="11"/>
          <c:order val="11"/>
          <c:tx>
            <c:strRef>
              <c:f>'Travel (2)'!$H$42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(2)'!$H$44:$H$45</c:f>
              <c:numCache/>
            </c:numRef>
          </c:xVal>
          <c:yVal>
            <c:numRef>
              <c:f>'Travel (2)'!$I$44:$I$45</c:f>
              <c:numCache/>
            </c:numRef>
          </c:yVal>
          <c:smooth val="0"/>
        </c:ser>
        <c:ser>
          <c:idx val="12"/>
          <c:order val="12"/>
          <c:tx>
            <c:strRef>
              <c:f>'Travel (2)'!$H$46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(2)'!$H$48:$H$50</c:f>
              <c:numCache/>
            </c:numRef>
          </c:xVal>
          <c:yVal>
            <c:numRef>
              <c:f>'Travel (2)'!$I$48:$I$50</c:f>
              <c:numCache/>
            </c:numRef>
          </c:yVal>
          <c:smooth val="0"/>
        </c:ser>
        <c:ser>
          <c:idx val="13"/>
          <c:order val="13"/>
          <c:tx>
            <c:strRef>
              <c:f>'Travel (2)'!$H$51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(2)'!$H$53:$H$54</c:f>
              <c:numCache/>
            </c:numRef>
          </c:xVal>
          <c:yVal>
            <c:numRef>
              <c:f>'Travel (2)'!$I$53:$I$54</c:f>
              <c:numCache/>
            </c:numRef>
          </c:yVal>
          <c:smooth val="0"/>
        </c:ser>
        <c:ser>
          <c:idx val="14"/>
          <c:order val="14"/>
          <c:tx>
            <c:strRef>
              <c:f>'Travel (2)'!$H$55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(2)'!$H$57:$H$58</c:f>
              <c:numCache/>
            </c:numRef>
          </c:xVal>
          <c:yVal>
            <c:numRef>
              <c:f>'Travel (2)'!$I$57:$I$58</c:f>
              <c:numCache/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'Travel (2)'!$H$62</c:f>
              <c:numCache/>
            </c:numRef>
          </c:xVal>
          <c:yVal>
            <c:numRef>
              <c:f>'Travel (2)'!$I$62</c:f>
              <c:numCache/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'Travel (2)'!$I$34</c:f>
              <c:numCache/>
            </c:numRef>
          </c:xVal>
          <c:yVal>
            <c:numRef>
              <c:f>'Travel (2)'!$I$35</c:f>
              <c:numCache/>
            </c:numRef>
          </c:yVal>
          <c:smooth val="0"/>
        </c:ser>
        <c:ser>
          <c:idx val="18"/>
          <c:order val="17"/>
          <c:tx>
            <c:strRef>
              <c:f>'Travel (2)'!$J$39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(2)'!$J$41:$J$53</c:f>
              <c:numCache/>
            </c:numRef>
          </c:xVal>
          <c:yVal>
            <c:numRef>
              <c:f>'Travel (2)'!$K$41:$K$53</c:f>
              <c:numCache/>
            </c:numRef>
          </c:yVal>
          <c:smooth val="0"/>
        </c:ser>
        <c:ser>
          <c:idx val="15"/>
          <c:order val="18"/>
          <c:tx>
            <c:strRef>
              <c:f>'Travel (2)'!$H$59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(2)'!$H$62:$H$63</c:f>
              <c:numCache/>
            </c:numRef>
          </c:xVal>
          <c:yVal>
            <c:numRef>
              <c:f>'Travel (2)'!$I$62:$I$63</c:f>
              <c:numCache/>
            </c:numRef>
          </c:yVal>
          <c:smooth val="0"/>
        </c:ser>
        <c:ser>
          <c:idx val="19"/>
          <c:order val="19"/>
          <c:tx>
            <c:v>static lowers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(2)'!$C$20:$C$21</c:f>
              <c:numCache/>
            </c:numRef>
          </c:xVal>
          <c:yVal>
            <c:numRef>
              <c:f>'Travel (2)'!$E$20:$E$21</c:f>
              <c:numCache/>
            </c:numRef>
          </c:yVal>
          <c:smooth val="0"/>
        </c:ser>
        <c:ser>
          <c:idx val="20"/>
          <c:order val="20"/>
          <c:tx>
            <c:v>static uppers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(2)'!$C$6:$C$7</c:f>
              <c:numCache/>
            </c:numRef>
          </c:xVal>
          <c:yVal>
            <c:numRef>
              <c:f>'Travel (2)'!$E$6:$E$7</c:f>
              <c:numCache/>
            </c:numRef>
          </c:yVal>
          <c:smooth val="0"/>
        </c:ser>
        <c:ser>
          <c:idx val="21"/>
          <c:order val="21"/>
          <c:tx>
            <c:v>pinion line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'Travel (2)'!$L$74:$L$76</c:f>
              <c:numCache/>
            </c:numRef>
          </c:xVal>
          <c:yVal>
            <c:numRef>
              <c:f>'Travel (2)'!$M$74:$M$77</c:f>
              <c:numCache/>
            </c:numRef>
          </c:yVal>
          <c:smooth val="0"/>
        </c:ser>
        <c:ser>
          <c:idx val="22"/>
          <c:order val="22"/>
          <c:tx>
            <c:v>static pinion line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('Travel (2)'!$C$69,'Travel (2)'!$C$71,'Travel (2)'!$C$73)</c:f>
              <c:numCache/>
            </c:numRef>
          </c:xVal>
          <c:yVal>
            <c:numRef>
              <c:f>('Travel (2)'!$D$69,'Travel (2)'!$D$71,'Travel (2)'!$D$73)</c:f>
              <c:numCache/>
            </c:numRef>
          </c:yVal>
          <c:smooth val="0"/>
        </c:ser>
        <c:axId val="39438876"/>
        <c:axId val="19405565"/>
      </c:scatterChart>
      <c:valAx>
        <c:axId val="39438876"/>
        <c:scaling>
          <c:orientation val="minMax"/>
          <c:max val="140"/>
          <c:min val="-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5565"/>
        <c:crossesAt val="0"/>
        <c:crossBetween val="midCat"/>
        <c:dispUnits/>
        <c:majorUnit val="20"/>
        <c:minorUnit val="5"/>
      </c:valAx>
      <c:valAx>
        <c:axId val="19405565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438876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125"/>
          <c:w val="0.983"/>
          <c:h val="0.94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Plot!$L$18:$L$19</c:f>
              <c:numCache/>
            </c:numRef>
          </c:xVal>
          <c:yVal>
            <c:numRef>
              <c:f>Plot!$N$18:$N$19</c:f>
              <c:numCache/>
            </c:numRef>
          </c:yVal>
          <c:smooth val="0"/>
        </c:ser>
        <c:ser>
          <c:idx val="3"/>
          <c:order val="1"/>
          <c:tx>
            <c:strRef>
              <c:f>Plot!$L$16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Plot!$L$20:$L$21</c:f>
              <c:numCache/>
            </c:numRef>
          </c:xVal>
          <c:yVal>
            <c:numRef>
              <c:f>Plot!$N$20:$N$21</c:f>
              <c:numCache/>
            </c:numRef>
          </c:yVal>
          <c:smooth val="0"/>
        </c:ser>
        <c:ser>
          <c:idx val="1"/>
          <c:order val="2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Plot!$L$8:$L$9</c:f>
              <c:numCache/>
            </c:numRef>
          </c:xVal>
          <c:yVal>
            <c:numRef>
              <c:f>Plot!$N$8:$N$9</c:f>
              <c:numCache/>
            </c:numRef>
          </c:yVal>
          <c:smooth val="0"/>
        </c:ser>
        <c:ser>
          <c:idx val="0"/>
          <c:order val="3"/>
          <c:tx>
            <c:strRef>
              <c:f>Plot!$L$4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Plot!$L$6:$L$7</c:f>
              <c:numCache/>
            </c:numRef>
          </c:xVal>
          <c:yVal>
            <c:numRef>
              <c:f>Plot!$N$6:$N$7</c:f>
              <c:numCache/>
            </c:numRef>
          </c:yVal>
          <c:smooth val="0"/>
        </c:ser>
        <c:ser>
          <c:idx val="4"/>
          <c:order val="4"/>
          <c:tx>
            <c:strRef>
              <c:f>Plot!$L$10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Plot!$L$12:$L$15</c:f>
              <c:numCache/>
            </c:numRef>
          </c:xVal>
          <c:yVal>
            <c:numRef>
              <c:f>Plot!$N$12:$N$15</c:f>
              <c:numCache/>
            </c:numRef>
          </c:yVal>
          <c:smooth val="0"/>
        </c:ser>
        <c:ser>
          <c:idx val="5"/>
          <c:order val="5"/>
          <c:tx>
            <c:strRef>
              <c:f>Plot!$L$22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Plot!$L$24:$L$27</c:f>
              <c:numCache/>
            </c:numRef>
          </c:xVal>
          <c:yVal>
            <c:numRef>
              <c:f>Plot!$N$24:$N$27</c:f>
              <c:numCache/>
            </c:numRef>
          </c:yVal>
          <c:smooth val="0"/>
        </c:ser>
        <c:ser>
          <c:idx val="6"/>
          <c:order val="6"/>
          <c:tx>
            <c:v>Tires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Plot!$C$5:$C$29</c:f>
              <c:numCache/>
            </c:numRef>
          </c:xVal>
          <c:yVal>
            <c:numRef>
              <c:f>Plot!$D$5:$D$29</c:f>
              <c:numCache/>
            </c:numRef>
          </c:yVal>
          <c:smooth val="1"/>
        </c:ser>
        <c:ser>
          <c:idx val="7"/>
          <c:order val="7"/>
          <c:tx>
            <c:strRef>
              <c:f>Plot!$E$3</c:f>
              <c:strCache>
                <c:ptCount val="1"/>
                <c:pt idx="0">
                  <c:v>Rear Tire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Plot!$E$5:$E$29</c:f>
              <c:numCache/>
            </c:numRef>
          </c:xVal>
          <c:yVal>
            <c:numRef>
              <c:f>Plot!$F$5:$F$29</c:f>
              <c:numCache/>
            </c:numRef>
          </c:yVal>
          <c:smooth val="1"/>
        </c:ser>
        <c:ser>
          <c:idx val="8"/>
          <c:order val="8"/>
          <c:tx>
            <c:strRef>
              <c:f>Main!$F$3</c:f>
              <c:strCache>
                <c:ptCount val="1"/>
                <c:pt idx="0">
                  <c:v>Upper Links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Main!$G$4:$G$5</c:f>
              <c:numCache>
                <c:ptCount val="2"/>
                <c:pt idx="0">
                  <c:v>20</c:v>
                </c:pt>
                <c:pt idx="1">
                  <c:v>0</c:v>
                </c:pt>
              </c:numCache>
            </c:numRef>
          </c:xVal>
          <c:yVal>
            <c:numRef>
              <c:f>Main!$I$4:$I$5</c:f>
              <c:numCache>
                <c:ptCount val="2"/>
                <c:pt idx="0">
                  <c:v>22</c:v>
                </c:pt>
                <c:pt idx="1">
                  <c:v>25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Main!$F$6</c:f>
              <c:strCache>
                <c:ptCount val="1"/>
                <c:pt idx="0">
                  <c:v>Lower Links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Main!$G$7:$G$8</c:f>
              <c:numCache>
                <c:ptCount val="2"/>
                <c:pt idx="0">
                  <c:v>29.5</c:v>
                </c:pt>
                <c:pt idx="1">
                  <c:v>3.5</c:v>
                </c:pt>
              </c:numCache>
            </c:numRef>
          </c:xVal>
          <c:yVal>
            <c:numRef>
              <c:f>Main!$I$7:$I$8</c:f>
              <c:numCache>
                <c:ptCount val="2"/>
                <c:pt idx="0">
                  <c:v>17.5</c:v>
                </c:pt>
                <c:pt idx="1">
                  <c:v>17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Plot!$G$3</c:f>
              <c:strCache>
                <c:ptCount val="1"/>
                <c:pt idx="0">
                  <c:v>IC Trace Upper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Plot!$G$5:$G$6</c:f>
              <c:numCache/>
            </c:numRef>
          </c:xVal>
          <c:yVal>
            <c:numRef>
              <c:f>Plot!$H$5:$H$6</c:f>
              <c:numCache/>
            </c:numRef>
          </c:yVal>
          <c:smooth val="0"/>
        </c:ser>
        <c:ser>
          <c:idx val="11"/>
          <c:order val="11"/>
          <c:tx>
            <c:strRef>
              <c:f>Plot!$G$7</c:f>
              <c:strCache>
                <c:ptCount val="1"/>
                <c:pt idx="0">
                  <c:v>IC Trace Lower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Plot!$G$9:$G$10</c:f>
              <c:numCache/>
            </c:numRef>
          </c:xVal>
          <c:yVal>
            <c:numRef>
              <c:f>Plot!$H$9:$H$10</c:f>
              <c:numCache/>
            </c:numRef>
          </c:yVal>
          <c:smooth val="0"/>
        </c:ser>
        <c:ser>
          <c:idx val="12"/>
          <c:order val="12"/>
          <c:tx>
            <c:strRef>
              <c:f>Plot!$G$11</c:f>
              <c:strCache>
                <c:ptCount val="1"/>
                <c:pt idx="0">
                  <c:v>Anti-Squat Line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Plot!$G$13:$G$15</c:f>
              <c:numCache/>
            </c:numRef>
          </c:xVal>
          <c:yVal>
            <c:numRef>
              <c:f>Plot!$H$13:$H$15</c:f>
              <c:numCache/>
            </c:numRef>
          </c:yVal>
          <c:smooth val="0"/>
        </c:ser>
        <c:ser>
          <c:idx val="13"/>
          <c:order val="13"/>
          <c:tx>
            <c:strRef>
              <c:f>Plot!$G$16</c:f>
              <c:strCache>
                <c:ptCount val="1"/>
                <c:pt idx="0">
                  <c:v>Anti-Squat CG</c:v>
                </c:pt>
              </c:strCache>
            </c:strRef>
          </c:tx>
          <c:spPr>
            <a:ln w="12700">
              <a:solidFill>
                <a:srgbClr val="00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Plot!$G$18:$G$19</c:f>
              <c:numCache/>
            </c:numRef>
          </c:xVal>
          <c:yVal>
            <c:numRef>
              <c:f>Plot!$H$18:$H$19</c:f>
              <c:numCache/>
            </c:numRef>
          </c:yVal>
          <c:smooth val="0"/>
        </c:ser>
        <c:ser>
          <c:idx val="14"/>
          <c:order val="14"/>
          <c:tx>
            <c:strRef>
              <c:f>Plot!$G$20</c:f>
              <c:strCache>
                <c:ptCount val="1"/>
                <c:pt idx="0">
                  <c:v>100% AS Line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Plot!$G$22:$G$23</c:f>
              <c:numCache/>
            </c:numRef>
          </c:xVal>
          <c:yVal>
            <c:numRef>
              <c:f>Plot!$H$22:$H$23</c:f>
              <c:numCache/>
            </c:numRef>
          </c:yVal>
          <c:smooth val="0"/>
        </c:ser>
        <c:ser>
          <c:idx val="16"/>
          <c:order val="15"/>
          <c:tx>
            <c:v>Roll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Plot!$G$27</c:f>
              <c:numCache/>
            </c:numRef>
          </c:xVal>
          <c:yVal>
            <c:numRef>
              <c:f>Plot!$H$27</c:f>
              <c:numCache/>
            </c:numRef>
          </c:yVal>
          <c:smooth val="0"/>
        </c:ser>
        <c:ser>
          <c:idx val="17"/>
          <c:order val="16"/>
          <c:tx>
            <c:v>Instant Center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VectorCalculations!$C$35</c:f>
              <c:numCache>
                <c:ptCount val="1"/>
                <c:pt idx="0">
                  <c:v>47.670454545454554</c:v>
                </c:pt>
              </c:numCache>
            </c:numRef>
          </c:xVal>
          <c:yVal>
            <c:numRef>
              <c:f>VectorCalculations!$C$36</c:f>
              <c:numCache>
                <c:ptCount val="1"/>
                <c:pt idx="0">
                  <c:v>17.849431818181817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Plot!$I$4</c:f>
              <c:strCache>
                <c:ptCount val="1"/>
                <c:pt idx="0">
                  <c:v>Rear Axle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Plot!$I$6:$I$18</c:f>
              <c:numCache/>
            </c:numRef>
          </c:xVal>
          <c:yVal>
            <c:numRef>
              <c:f>Plot!$J$6:$J$18</c:f>
              <c:numCache/>
            </c:numRef>
          </c:yVal>
          <c:smooth val="0"/>
        </c:ser>
        <c:ser>
          <c:idx val="15"/>
          <c:order val="18"/>
          <c:tx>
            <c:strRef>
              <c:f>Plot!$G$24</c:f>
              <c:strCache>
                <c:ptCount val="1"/>
                <c:pt idx="0">
                  <c:v>Roll Axis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Plot!$G$26:$G$28</c:f>
              <c:numCache/>
            </c:numRef>
          </c:xVal>
          <c:yVal>
            <c:numRef>
              <c:f>Plot!$H$26:$H$28</c:f>
              <c:numCache/>
            </c:numRef>
          </c:yVal>
          <c:smooth val="0"/>
        </c:ser>
        <c:axId val="40432358"/>
        <c:axId val="28346903"/>
      </c:scatterChart>
      <c:valAx>
        <c:axId val="40432358"/>
        <c:scaling>
          <c:orientation val="minMax"/>
          <c:max val="140"/>
          <c:min val="-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6903"/>
        <c:crossesAt val="0"/>
        <c:crossBetween val="midCat"/>
        <c:dispUnits/>
        <c:majorUnit val="20"/>
        <c:minorUnit val="5"/>
      </c:valAx>
      <c:valAx>
        <c:axId val="28346903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432358"/>
        <c:crossesAt val="0"/>
        <c:crossBetween val="midCat"/>
        <c:dispUnits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7"/>
        <c:delete val="1"/>
      </c:legendEntry>
      <c:layout>
        <c:manualLayout>
          <c:xMode val="edge"/>
          <c:yMode val="edge"/>
          <c:x val="0.0675"/>
          <c:y val="0.003"/>
          <c:w val="0.85975"/>
          <c:h val="0.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76200</xdr:rowOff>
    </xdr:from>
    <xdr:to>
      <xdr:col>16</xdr:col>
      <xdr:colOff>0</xdr:colOff>
      <xdr:row>50</xdr:row>
      <xdr:rowOff>19050</xdr:rowOff>
    </xdr:to>
    <xdr:graphicFrame>
      <xdr:nvGraphicFramePr>
        <xdr:cNvPr id="1" name="Chart 136"/>
        <xdr:cNvGraphicFramePr/>
      </xdr:nvGraphicFramePr>
      <xdr:xfrm>
        <a:off x="123825" y="1800225"/>
        <a:ext cx="1065847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152400</xdr:colOff>
      <xdr:row>10</xdr:row>
      <xdr:rowOff>47625</xdr:rowOff>
    </xdr:from>
    <xdr:to>
      <xdr:col>14</xdr:col>
      <xdr:colOff>676275</xdr:colOff>
      <xdr:row>22</xdr:row>
      <xdr:rowOff>104775</xdr:rowOff>
    </xdr:to>
    <xdr:graphicFrame>
      <xdr:nvGraphicFramePr>
        <xdr:cNvPr id="2" name="Chart 152"/>
        <xdr:cNvGraphicFramePr/>
      </xdr:nvGraphicFramePr>
      <xdr:xfrm>
        <a:off x="5210175" y="1952625"/>
        <a:ext cx="3886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1400175</xdr:colOff>
      <xdr:row>8</xdr:row>
      <xdr:rowOff>9525</xdr:rowOff>
    </xdr:from>
    <xdr:to>
      <xdr:col>14</xdr:col>
      <xdr:colOff>1076325</xdr:colOff>
      <xdr:row>9</xdr:row>
      <xdr:rowOff>114300</xdr:rowOff>
    </xdr:to>
    <xdr:pic>
      <xdr:nvPicPr>
        <xdr:cNvPr id="3" name="Bu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0100" y="1552575"/>
          <a:ext cx="1076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8</xdr:row>
      <xdr:rowOff>9525</xdr:rowOff>
    </xdr:from>
    <xdr:to>
      <xdr:col>15</xdr:col>
      <xdr:colOff>1104900</xdr:colOff>
      <xdr:row>9</xdr:row>
      <xdr:rowOff>114300</xdr:rowOff>
    </xdr:to>
    <xdr:pic>
      <xdr:nvPicPr>
        <xdr:cNvPr id="4" name="Droo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155257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38100</xdr:rowOff>
    </xdr:from>
    <xdr:to>
      <xdr:col>19</xdr:col>
      <xdr:colOff>342900</xdr:colOff>
      <xdr:row>31</xdr:row>
      <xdr:rowOff>133350</xdr:rowOff>
    </xdr:to>
    <xdr:graphicFrame>
      <xdr:nvGraphicFramePr>
        <xdr:cNvPr id="1" name="Chart 3"/>
        <xdr:cNvGraphicFramePr/>
      </xdr:nvGraphicFramePr>
      <xdr:xfrm>
        <a:off x="7086600" y="38100"/>
        <a:ext cx="69246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11</xdr:col>
      <xdr:colOff>447675</xdr:colOff>
      <xdr:row>32</xdr:row>
      <xdr:rowOff>9525</xdr:rowOff>
    </xdr:from>
    <xdr:to>
      <xdr:col>15</xdr:col>
      <xdr:colOff>1038225</xdr:colOff>
      <xdr:row>35</xdr:row>
      <xdr:rowOff>152400</xdr:rowOff>
    </xdr:to>
    <xdr:pic>
      <xdr:nvPicPr>
        <xdr:cNvPr id="2" name="CmdBu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15</xdr:col>
      <xdr:colOff>1085850</xdr:colOff>
      <xdr:row>32</xdr:row>
      <xdr:rowOff>9525</xdr:rowOff>
    </xdr:from>
    <xdr:to>
      <xdr:col>18</xdr:col>
      <xdr:colOff>371475</xdr:colOff>
      <xdr:row>35</xdr:row>
      <xdr:rowOff>152400</xdr:rowOff>
    </xdr:to>
    <xdr:pic>
      <xdr:nvPicPr>
        <xdr:cNvPr id="3" name="CmdDroo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91725" y="5572125"/>
          <a:ext cx="2857500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1038225</xdr:colOff>
      <xdr:row>50</xdr:row>
      <xdr:rowOff>28575</xdr:rowOff>
    </xdr:from>
    <xdr:to>
      <xdr:col>4</xdr:col>
      <xdr:colOff>1257300</xdr:colOff>
      <xdr:row>51</xdr:row>
      <xdr:rowOff>104775</xdr:rowOff>
    </xdr:to>
    <xdr:pic>
      <xdr:nvPicPr>
        <xdr:cNvPr id="1" name="Picture 51" descr="untitl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829627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12</xdr:col>
      <xdr:colOff>209550</xdr:colOff>
      <xdr:row>42</xdr:row>
      <xdr:rowOff>114300</xdr:rowOff>
    </xdr:to>
    <xdr:pic>
      <xdr:nvPicPr>
        <xdr:cNvPr id="1" name="Picture 3" descr="CordSys4Li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6877050" cy="677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47625</xdr:rowOff>
    </xdr:from>
    <xdr:to>
      <xdr:col>20</xdr:col>
      <xdr:colOff>333375</xdr:colOff>
      <xdr:row>88</xdr:row>
      <xdr:rowOff>104775</xdr:rowOff>
    </xdr:to>
    <xdr:graphicFrame>
      <xdr:nvGraphicFramePr>
        <xdr:cNvPr id="1" name="Chart 4"/>
        <xdr:cNvGraphicFramePr/>
      </xdr:nvGraphicFramePr>
      <xdr:xfrm>
        <a:off x="133350" y="4867275"/>
        <a:ext cx="12096750" cy="961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iaged@gmail.com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6"/>
  <sheetViews>
    <sheetView showGridLines="0" tabSelected="1" zoomScale="85" zoomScaleNormal="85" zoomScalePageLayoutView="0" workbookViewId="0" topLeftCell="A2">
      <selection activeCell="I5" sqref="I5"/>
    </sheetView>
  </sheetViews>
  <sheetFormatPr defaultColWidth="15.140625" defaultRowHeight="14.25" customHeight="1"/>
  <cols>
    <col min="1" max="1" width="1.421875" style="10" customWidth="1"/>
    <col min="2" max="2" width="20.57421875" style="9" bestFit="1" customWidth="1"/>
    <col min="3" max="3" width="6.8515625" style="10" bestFit="1" customWidth="1"/>
    <col min="4" max="4" width="3.28125" style="10" bestFit="1" customWidth="1"/>
    <col min="5" max="5" width="3.57421875" style="10" customWidth="1"/>
    <col min="6" max="6" width="16.57421875" style="10" bestFit="1" customWidth="1"/>
    <col min="7" max="9" width="6.8515625" style="10" bestFit="1" customWidth="1"/>
    <col min="10" max="10" width="3.00390625" style="10" bestFit="1" customWidth="1"/>
    <col min="11" max="11" width="3.57421875" style="10" customWidth="1"/>
    <col min="12" max="12" width="20.140625" style="10" bestFit="1" customWidth="1"/>
    <col min="13" max="13" width="5.7109375" style="10" bestFit="1" customWidth="1"/>
    <col min="14" max="14" width="21.00390625" style="10" customWidth="1"/>
    <col min="15" max="15" width="17.421875" style="10" customWidth="1"/>
    <col min="16" max="16" width="18.00390625" style="10" customWidth="1"/>
    <col min="17" max="17" width="3.57421875" style="10" customWidth="1"/>
    <col min="18" max="18" width="19.140625" style="10" bestFit="1" customWidth="1"/>
    <col min="19" max="16384" width="15.140625" style="10" customWidth="1"/>
  </cols>
  <sheetData>
    <row r="1" spans="2:16" ht="20.25">
      <c r="B1" s="238" t="s">
        <v>132</v>
      </c>
      <c r="C1" s="238"/>
      <c r="D1" s="238"/>
      <c r="E1" s="238"/>
      <c r="F1" s="238"/>
      <c r="G1" s="56"/>
      <c r="O1" s="128"/>
      <c r="P1" s="57" t="s">
        <v>30</v>
      </c>
    </row>
    <row r="2" spans="2:16" ht="15.75">
      <c r="B2" s="237" t="s">
        <v>32</v>
      </c>
      <c r="C2" s="237"/>
      <c r="D2" s="237"/>
      <c r="F2" s="237" t="s">
        <v>33</v>
      </c>
      <c r="G2" s="237"/>
      <c r="H2" s="237"/>
      <c r="I2" s="237"/>
      <c r="J2" s="237"/>
      <c r="K2" s="25"/>
      <c r="L2" s="237" t="s">
        <v>87</v>
      </c>
      <c r="M2" s="237"/>
      <c r="N2" s="237"/>
      <c r="O2" s="237"/>
      <c r="P2" s="237"/>
    </row>
    <row r="3" spans="2:16" ht="14.25" customHeight="1">
      <c r="B3" s="72" t="s">
        <v>2</v>
      </c>
      <c r="C3" s="73">
        <v>101</v>
      </c>
      <c r="D3" s="59" t="s">
        <v>10</v>
      </c>
      <c r="F3" s="37" t="s">
        <v>4</v>
      </c>
      <c r="G3" s="61" t="s">
        <v>1</v>
      </c>
      <c r="H3" s="61" t="s">
        <v>0</v>
      </c>
      <c r="I3" s="61" t="s">
        <v>5</v>
      </c>
      <c r="J3" s="62"/>
      <c r="K3" s="25"/>
      <c r="L3" s="72" t="s">
        <v>178</v>
      </c>
      <c r="M3" s="75">
        <f>Anti_Squat</f>
        <v>99.94478975193745</v>
      </c>
      <c r="N3" s="58" t="s">
        <v>7</v>
      </c>
      <c r="O3" s="220" t="s">
        <v>177</v>
      </c>
      <c r="P3" s="221">
        <f>'Travel (2)'!I30/100</f>
        <v>0.9994478975193745</v>
      </c>
    </row>
    <row r="4" spans="2:18" ht="14.25" customHeight="1">
      <c r="B4" s="14" t="s">
        <v>3</v>
      </c>
      <c r="C4" s="33">
        <v>35</v>
      </c>
      <c r="D4" s="41" t="s">
        <v>10</v>
      </c>
      <c r="E4" s="11"/>
      <c r="F4" s="14" t="s">
        <v>23</v>
      </c>
      <c r="G4" s="70">
        <v>20</v>
      </c>
      <c r="H4" s="70">
        <v>13.5</v>
      </c>
      <c r="I4" s="233">
        <v>22</v>
      </c>
      <c r="J4" s="39" t="s">
        <v>10</v>
      </c>
      <c r="L4" s="14" t="s">
        <v>69</v>
      </c>
      <c r="M4" s="69">
        <f>Roll_Center_Height</f>
        <v>26.250380388841926</v>
      </c>
      <c r="N4" s="24" t="s">
        <v>10</v>
      </c>
      <c r="O4" s="25" t="s">
        <v>179</v>
      </c>
      <c r="P4" s="223">
        <f>'Travel (2)'!I32</f>
        <v>26.250380388841926</v>
      </c>
      <c r="R4" s="17" t="s">
        <v>129</v>
      </c>
    </row>
    <row r="5" spans="2:18" ht="14.25" customHeight="1">
      <c r="B5" s="14" t="s">
        <v>86</v>
      </c>
      <c r="C5" s="32">
        <v>17</v>
      </c>
      <c r="D5" s="41" t="s">
        <v>10</v>
      </c>
      <c r="E5" s="11"/>
      <c r="F5" s="14" t="s">
        <v>24</v>
      </c>
      <c r="G5" s="70">
        <v>0</v>
      </c>
      <c r="H5" s="70">
        <v>6</v>
      </c>
      <c r="I5" s="70">
        <v>25</v>
      </c>
      <c r="J5" s="39" t="s">
        <v>10</v>
      </c>
      <c r="L5" s="14" t="s">
        <v>70</v>
      </c>
      <c r="M5" s="76">
        <f>Roll_Axis_Angle</f>
        <v>-4.109709435285316</v>
      </c>
      <c r="N5" s="86" t="str">
        <f>IF(M5&lt;0,"degrees (Roll Understeer)","degrees (Roll Oversteer)")</f>
        <v>degrees (Roll Understeer)</v>
      </c>
      <c r="O5" s="25" t="s">
        <v>180</v>
      </c>
      <c r="P5" s="227">
        <f>'Travel (2)'!I33</f>
        <v>-4.109709435285316</v>
      </c>
      <c r="R5" s="17" t="s">
        <v>41</v>
      </c>
    </row>
    <row r="6" spans="2:18" ht="14.25" customHeight="1">
      <c r="B6" s="14" t="s">
        <v>121</v>
      </c>
      <c r="C6" s="33">
        <v>34</v>
      </c>
      <c r="D6" s="41" t="s">
        <v>10</v>
      </c>
      <c r="E6" s="11"/>
      <c r="F6" s="50" t="s">
        <v>6</v>
      </c>
      <c r="G6" s="17" t="s">
        <v>1</v>
      </c>
      <c r="H6" s="17" t="s">
        <v>0</v>
      </c>
      <c r="I6" s="17" t="s">
        <v>5</v>
      </c>
      <c r="J6" s="39"/>
      <c r="L6" s="14" t="s">
        <v>31</v>
      </c>
      <c r="M6" s="27">
        <f>IF(ABS(IC_X)&gt;Plot!J3,"Parallel",IC_X)</f>
        <v>47.670454545454554</v>
      </c>
      <c r="N6" s="10" t="s">
        <v>10</v>
      </c>
      <c r="O6" s="25" t="s">
        <v>182</v>
      </c>
      <c r="P6" s="226">
        <f>'Travel (2)'!I3</f>
        <v>0</v>
      </c>
      <c r="R6" s="17" t="s">
        <v>66</v>
      </c>
    </row>
    <row r="7" spans="2:18" ht="14.25" customHeight="1">
      <c r="B7" s="78" t="s">
        <v>123</v>
      </c>
      <c r="C7" s="71">
        <v>3800</v>
      </c>
      <c r="D7" s="41" t="s">
        <v>11</v>
      </c>
      <c r="E7" s="11"/>
      <c r="F7" s="14" t="s">
        <v>23</v>
      </c>
      <c r="G7" s="70">
        <v>29.5</v>
      </c>
      <c r="H7" s="70">
        <v>14</v>
      </c>
      <c r="I7" s="70">
        <v>17.5</v>
      </c>
      <c r="J7" s="39" t="s">
        <v>10</v>
      </c>
      <c r="L7" s="14" t="s">
        <v>42</v>
      </c>
      <c r="M7" s="27">
        <f>IF(ABS(IC_X)&gt;Plot!J3,"Parallel",IC_Z)</f>
        <v>17.849431818181817</v>
      </c>
      <c r="N7" s="10" t="s">
        <v>10</v>
      </c>
      <c r="O7" s="9" t="s">
        <v>181</v>
      </c>
      <c r="P7" s="222">
        <v>0</v>
      </c>
      <c r="R7" s="209" t="s">
        <v>143</v>
      </c>
    </row>
    <row r="8" spans="1:16" ht="14.25" customHeight="1">
      <c r="A8" s="12"/>
      <c r="B8" s="9" t="s">
        <v>136</v>
      </c>
      <c r="C8" s="203">
        <v>800</v>
      </c>
      <c r="D8" s="12" t="s">
        <v>11</v>
      </c>
      <c r="E8" s="11"/>
      <c r="F8" s="18" t="s">
        <v>24</v>
      </c>
      <c r="G8" s="74">
        <v>3.5</v>
      </c>
      <c r="H8" s="74">
        <v>19</v>
      </c>
      <c r="I8" s="74">
        <v>17</v>
      </c>
      <c r="J8" s="60" t="s">
        <v>10</v>
      </c>
      <c r="K8" s="25"/>
      <c r="L8" s="77"/>
      <c r="M8" s="6"/>
      <c r="N8" s="6"/>
      <c r="O8" s="225" t="s">
        <v>175</v>
      </c>
      <c r="P8" s="224">
        <v>4</v>
      </c>
    </row>
    <row r="9" spans="1:15" ht="14.25" customHeight="1">
      <c r="A9" s="12"/>
      <c r="B9" s="18" t="s">
        <v>122</v>
      </c>
      <c r="C9" s="204">
        <v>700</v>
      </c>
      <c r="D9" s="13" t="s">
        <v>11</v>
      </c>
      <c r="E9" s="11"/>
      <c r="K9" s="25"/>
      <c r="L9" s="27"/>
      <c r="M9" s="17"/>
      <c r="N9" s="24"/>
      <c r="O9" s="24"/>
    </row>
    <row r="10" spans="3:15" ht="14.25" customHeight="1">
      <c r="C10" s="5"/>
      <c r="E10" s="11"/>
      <c r="F10" s="11"/>
      <c r="G10" s="11"/>
      <c r="H10" s="11"/>
      <c r="J10" s="24"/>
      <c r="K10" s="25"/>
      <c r="L10" s="27"/>
      <c r="M10" s="17"/>
      <c r="N10" s="24"/>
      <c r="O10" s="24"/>
    </row>
    <row r="11" spans="3:15" ht="14.25" customHeight="1">
      <c r="C11" s="5"/>
      <c r="H11" s="11"/>
      <c r="J11" s="24"/>
      <c r="K11" s="25"/>
      <c r="L11" s="27"/>
      <c r="M11" s="17"/>
      <c r="N11" s="24"/>
      <c r="O11" s="24"/>
    </row>
    <row r="12" spans="3:15" ht="14.25" customHeight="1">
      <c r="C12" s="5"/>
      <c r="H12" s="11"/>
      <c r="J12" s="24"/>
      <c r="K12" s="25"/>
      <c r="L12" s="27"/>
      <c r="M12" s="17"/>
      <c r="N12" s="24"/>
      <c r="O12" s="24"/>
    </row>
    <row r="13" spans="3:15" ht="14.25" customHeight="1">
      <c r="C13" s="5"/>
      <c r="H13" s="11"/>
      <c r="J13" s="24"/>
      <c r="K13" s="25"/>
      <c r="L13" s="27"/>
      <c r="M13" s="17"/>
      <c r="N13" s="24"/>
      <c r="O13" s="24"/>
    </row>
    <row r="14" spans="8:15" ht="14.25" customHeight="1">
      <c r="H14" s="11"/>
      <c r="J14" s="24"/>
      <c r="K14" s="25"/>
      <c r="L14" s="27"/>
      <c r="M14" s="17"/>
      <c r="N14" s="24"/>
      <c r="O14" s="24"/>
    </row>
    <row r="15" spans="8:19" ht="14.25" customHeight="1">
      <c r="H15" s="11"/>
      <c r="J15" s="24"/>
      <c r="K15" s="25"/>
      <c r="L15" s="27"/>
      <c r="M15" s="17"/>
      <c r="N15" s="24"/>
      <c r="O15" s="24"/>
      <c r="R15" s="229" t="s">
        <v>188</v>
      </c>
      <c r="S15" s="230"/>
    </row>
    <row r="16" spans="8:19" ht="14.25" customHeight="1">
      <c r="H16" s="11"/>
      <c r="J16" s="24"/>
      <c r="K16" s="25"/>
      <c r="L16" s="27"/>
      <c r="M16" s="24"/>
      <c r="N16" s="24"/>
      <c r="O16" s="24"/>
      <c r="R16" s="231" t="s">
        <v>189</v>
      </c>
      <c r="S16" s="231">
        <f>SQRT(((G4-G5)^2)+((H4-H5)^2))</f>
        <v>21.360009363293827</v>
      </c>
    </row>
    <row r="17" spans="8:19" ht="14.25" customHeight="1">
      <c r="H17" s="9"/>
      <c r="N17" s="24"/>
      <c r="O17" s="24"/>
      <c r="R17" s="10" t="s">
        <v>193</v>
      </c>
      <c r="S17" s="218">
        <f>ABS(DEGREES(TAN((H4-H5)/(G4-G5))))*2</f>
        <v>45.10628300944923</v>
      </c>
    </row>
    <row r="18" spans="8:19" ht="14.25" customHeight="1">
      <c r="H18" s="9"/>
      <c r="N18" s="24"/>
      <c r="O18" s="24"/>
      <c r="R18" s="231" t="s">
        <v>190</v>
      </c>
      <c r="S18" s="231">
        <f>SQRT(((G7-G8)^2)+((H7-H8)^2))</f>
        <v>26.476404589747453</v>
      </c>
    </row>
    <row r="19" spans="8:19" ht="14.25" customHeight="1">
      <c r="H19" s="9"/>
      <c r="N19" s="24"/>
      <c r="O19" s="24"/>
      <c r="R19" s="10" t="s">
        <v>192</v>
      </c>
      <c r="S19" s="218">
        <f>ABS(DEGREES(TAN((H7-H8)/(G7-G8))))*2</f>
        <v>22.312575219218743</v>
      </c>
    </row>
    <row r="20" spans="18:19" ht="14.25" customHeight="1">
      <c r="R20" s="232" t="s">
        <v>191</v>
      </c>
      <c r="S20" s="232">
        <f>S17+S19</f>
        <v>67.41885822866797</v>
      </c>
    </row>
    <row r="21" spans="18:19" ht="14.25" customHeight="1">
      <c r="R21" s="234" t="s">
        <v>194</v>
      </c>
      <c r="S21" s="235">
        <f>I5-I8</f>
        <v>8</v>
      </c>
    </row>
    <row r="53" spans="4:5" ht="14.25" customHeight="1">
      <c r="D53" s="5"/>
      <c r="E53" s="5"/>
    </row>
    <row r="54" spans="4:5" ht="14.25" customHeight="1">
      <c r="D54" s="5"/>
      <c r="E54" s="5"/>
    </row>
    <row r="55" spans="4:5" ht="14.25" customHeight="1">
      <c r="D55" s="5"/>
      <c r="E55" s="5"/>
    </row>
    <row r="56" spans="4:5" ht="14.25" customHeight="1">
      <c r="D56" s="5"/>
      <c r="E56" s="5"/>
    </row>
  </sheetData>
  <sheetProtection/>
  <mergeCells count="4">
    <mergeCell ref="F2:J2"/>
    <mergeCell ref="B2:D2"/>
    <mergeCell ref="L2:P2"/>
    <mergeCell ref="B1:F1"/>
  </mergeCells>
  <hyperlinks>
    <hyperlink ref="R7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W39"/>
  <sheetViews>
    <sheetView showGridLines="0" zoomScalePageLayoutView="0" workbookViewId="0" topLeftCell="A1">
      <selection activeCell="L30" sqref="L30"/>
    </sheetView>
  </sheetViews>
  <sheetFormatPr defaultColWidth="15.140625" defaultRowHeight="12.75"/>
  <cols>
    <col min="1" max="1" width="1.421875" style="92" customWidth="1"/>
    <col min="2" max="2" width="18.7109375" style="83" bestFit="1" customWidth="1"/>
    <col min="3" max="6" width="10.7109375" style="92" customWidth="1"/>
    <col min="7" max="7" width="2.8515625" style="92" customWidth="1"/>
    <col min="8" max="8" width="16.7109375" style="92" bestFit="1" customWidth="1"/>
    <col min="9" max="12" width="7.140625" style="95" customWidth="1"/>
    <col min="13" max="13" width="16.7109375" style="92" bestFit="1" customWidth="1"/>
    <col min="14" max="17" width="7.140625" style="92" customWidth="1"/>
    <col min="18" max="16384" width="15.140625" style="92" customWidth="1"/>
  </cols>
  <sheetData>
    <row r="1" spans="2:10" ht="20.25">
      <c r="B1" s="242" t="str">
        <f>Main!B1</f>
        <v>4 Bar Linkage Calculator v3.0</v>
      </c>
      <c r="C1" s="242"/>
      <c r="D1" s="242"/>
      <c r="E1" s="242"/>
      <c r="F1" s="242"/>
      <c r="H1" s="110"/>
      <c r="I1" s="239" t="s">
        <v>112</v>
      </c>
      <c r="J1" s="239"/>
    </row>
    <row r="2" spans="2:10" ht="12.75">
      <c r="B2" s="83" t="s">
        <v>128</v>
      </c>
      <c r="C2" s="199">
        <f>Vehicle_CG_Height</f>
        <v>34</v>
      </c>
      <c r="F2" s="86"/>
      <c r="G2" s="90"/>
      <c r="H2" s="93"/>
      <c r="I2" s="89"/>
      <c r="J2" s="89"/>
    </row>
    <row r="3" spans="2:14" ht="12.75">
      <c r="B3" s="83" t="s">
        <v>126</v>
      </c>
      <c r="C3" s="198">
        <f>(Vehicle_CG_Height*Vehicle_Mass-Front_Unsprung_Mass*Tire_Rolling_Radius-Rear_Unsprung_Mass*Tire_Rolling_Radius)/(Vehicle_Mass-Front_Unsprung_Mass-Rear_Unsprung_Mass)</f>
        <v>45.08695652173913</v>
      </c>
      <c r="D3" s="92" t="s">
        <v>10</v>
      </c>
      <c r="E3" s="198"/>
      <c r="G3" s="83"/>
      <c r="H3" s="17"/>
      <c r="N3" s="86"/>
    </row>
    <row r="4" spans="2:12" ht="12.75">
      <c r="B4" s="83" t="s">
        <v>127</v>
      </c>
      <c r="C4" s="198">
        <f>(Vehicle_CG_Height*Vehicle_Mass-Rear_Unsprung_Mass*Tire_Rolling_Radius)/(Vehicle_Mass-Rear_Unsprung_Mass)</f>
        <v>37.83870967741935</v>
      </c>
      <c r="D4" s="92" t="s">
        <v>10</v>
      </c>
      <c r="G4" s="83"/>
      <c r="I4" s="92"/>
      <c r="J4" s="92"/>
      <c r="K4" s="92"/>
      <c r="L4" s="92"/>
    </row>
    <row r="5" spans="2:12" ht="15.75">
      <c r="B5" s="240" t="s">
        <v>33</v>
      </c>
      <c r="C5" s="240"/>
      <c r="D5" s="240"/>
      <c r="E5" s="240"/>
      <c r="F5" s="240"/>
      <c r="G5" s="83"/>
      <c r="I5" s="92"/>
      <c r="J5" s="92"/>
      <c r="K5" s="92"/>
      <c r="L5" s="92"/>
    </row>
    <row r="6" spans="2:12" ht="15.75">
      <c r="B6" s="84" t="s">
        <v>4</v>
      </c>
      <c r="C6" s="81" t="s">
        <v>1</v>
      </c>
      <c r="D6" s="81" t="s">
        <v>0</v>
      </c>
      <c r="E6" s="81" t="s">
        <v>5</v>
      </c>
      <c r="F6" s="82"/>
      <c r="G6" s="83"/>
      <c r="I6" s="92"/>
      <c r="J6" s="92"/>
      <c r="K6" s="92"/>
      <c r="L6" s="92"/>
    </row>
    <row r="7" spans="2:12" ht="12.75">
      <c r="B7" s="88" t="s">
        <v>23</v>
      </c>
      <c r="C7" s="111">
        <f>UF_X</f>
        <v>20</v>
      </c>
      <c r="D7" s="111">
        <f>UF_Y</f>
        <v>13.5</v>
      </c>
      <c r="E7" s="111">
        <f>UF_Z</f>
        <v>22</v>
      </c>
      <c r="F7" s="87" t="s">
        <v>10</v>
      </c>
      <c r="G7" s="83"/>
      <c r="I7" s="92"/>
      <c r="J7" s="92"/>
      <c r="K7" s="92"/>
      <c r="L7" s="92"/>
    </row>
    <row r="8" spans="2:7" s="105" customFormat="1" ht="12.75">
      <c r="B8" s="88" t="s">
        <v>24</v>
      </c>
      <c r="C8" s="111">
        <f>UA_X</f>
        <v>0</v>
      </c>
      <c r="D8" s="111">
        <f>UA_Y</f>
        <v>6</v>
      </c>
      <c r="E8" s="111">
        <f>UA_Z</f>
        <v>25</v>
      </c>
      <c r="F8" s="87" t="s">
        <v>10</v>
      </c>
      <c r="G8" s="104"/>
    </row>
    <row r="9" spans="2:7" s="105" customFormat="1" ht="12.75">
      <c r="B9" s="88" t="s">
        <v>13</v>
      </c>
      <c r="C9" s="89">
        <f>(UF_X-UA_X)</f>
        <v>20</v>
      </c>
      <c r="D9" s="89">
        <f>(UF_Y-UA_Y)</f>
        <v>7.5</v>
      </c>
      <c r="E9" s="89">
        <f>(UF_Z-UA_Z)</f>
        <v>-3</v>
      </c>
      <c r="F9" s="87" t="s">
        <v>10</v>
      </c>
      <c r="G9" s="104"/>
    </row>
    <row r="10" spans="2:7" s="105" customFormat="1" ht="12.75">
      <c r="B10" s="91" t="s">
        <v>108</v>
      </c>
      <c r="C10" s="90">
        <f>(C9^2+D9^2+E9^2)^(0.5)</f>
        <v>21.569654610122992</v>
      </c>
      <c r="D10" s="86" t="s">
        <v>10</v>
      </c>
      <c r="E10" s="90"/>
      <c r="F10" s="87"/>
      <c r="G10" s="104"/>
    </row>
    <row r="11" spans="2:12" ht="12.75">
      <c r="B11" s="30" t="s">
        <v>14</v>
      </c>
      <c r="C11" s="25">
        <f>(C9/$C$10)</f>
        <v>0.9272285700214075</v>
      </c>
      <c r="D11" s="25">
        <f>(D9/$C$10)</f>
        <v>0.34771071375802776</v>
      </c>
      <c r="E11" s="25">
        <f>(E9/$C$10)</f>
        <v>-0.1390842855032111</v>
      </c>
      <c r="F11" s="26">
        <f>(C11^2+D11^2+E11^2)^0.5</f>
        <v>1</v>
      </c>
      <c r="G11" s="83"/>
      <c r="I11" s="92"/>
      <c r="J11" s="92"/>
      <c r="K11" s="92"/>
      <c r="L11" s="92"/>
    </row>
    <row r="12" spans="2:12" ht="12.75">
      <c r="B12" s="30" t="s">
        <v>15</v>
      </c>
      <c r="C12" s="25">
        <f>IF(ISERROR(INTERCEPT(UF_X:UA_X,UF_Y:UA_Y)),"Parallel",(INTERCEPT(UF_X:UA_X,UF_Y:UA_Y)))</f>
        <v>-16</v>
      </c>
      <c r="D12" s="25">
        <f>INTERCEPT(UF_Y:UA_Y,UF_X:UA_X)</f>
        <v>6</v>
      </c>
      <c r="E12" s="25">
        <f>INTERCEPT(UF_Z:UA_Z,UF_X:UA_X)</f>
        <v>25</v>
      </c>
      <c r="F12" s="106" t="s">
        <v>10</v>
      </c>
      <c r="G12" s="83"/>
      <c r="I12" s="92"/>
      <c r="J12" s="92"/>
      <c r="K12" s="92"/>
      <c r="L12" s="92"/>
    </row>
    <row r="13" spans="2:7" s="105" customFormat="1" ht="12.75">
      <c r="B13" s="30" t="s">
        <v>16</v>
      </c>
      <c r="C13" s="25">
        <f>(C12)</f>
        <v>-16</v>
      </c>
      <c r="D13" s="25">
        <v>0</v>
      </c>
      <c r="E13" s="25">
        <f>IF(C12="Parallel","N/A",(C17*C12+E12))</f>
        <v>27.4</v>
      </c>
      <c r="F13" s="106" t="s">
        <v>10</v>
      </c>
      <c r="G13" s="104"/>
    </row>
    <row r="14" spans="2:23" s="105" customFormat="1" ht="12.75">
      <c r="B14" s="88" t="s">
        <v>109</v>
      </c>
      <c r="C14" s="93">
        <f>((Vehicle_Mass*Acceleration/2)*LA_Z)/(C11*(UA_Z-LA_Z)+E11*UA_X)</f>
        <v>26126.24414651147</v>
      </c>
      <c r="D14" s="112" t="str">
        <f>IF(C14&lt;0,"lb (Compression)","lb (Tension)")</f>
        <v>lb (Tension)</v>
      </c>
      <c r="E14" s="95"/>
      <c r="F14" s="87"/>
      <c r="G14" s="104"/>
      <c r="P14" s="107"/>
      <c r="Q14" s="107"/>
      <c r="R14" s="107"/>
      <c r="W14" s="107"/>
    </row>
    <row r="15" spans="2:12" ht="12.75">
      <c r="B15" s="91" t="s">
        <v>110</v>
      </c>
      <c r="C15" s="90">
        <f>($C14*C11)</f>
        <v>24225</v>
      </c>
      <c r="D15" s="90">
        <f>($C14*D11)</f>
        <v>9084.374999999998</v>
      </c>
      <c r="E15" s="90">
        <f>($C14*E11)</f>
        <v>-3633.7499999999995</v>
      </c>
      <c r="F15" s="87" t="s">
        <v>11</v>
      </c>
      <c r="I15" s="92"/>
      <c r="J15" s="92"/>
      <c r="K15" s="92"/>
      <c r="L15" s="92"/>
    </row>
    <row r="16" spans="2:12" ht="12.75">
      <c r="B16" s="30" t="s">
        <v>89</v>
      </c>
      <c r="C16" s="107">
        <f>(UF_Y-UA_Y)/(UF_X-UA_X)</f>
        <v>0.375</v>
      </c>
      <c r="D16" s="24" t="s">
        <v>9</v>
      </c>
      <c r="E16" s="25"/>
      <c r="F16" s="106"/>
      <c r="I16" s="92"/>
      <c r="J16" s="92"/>
      <c r="K16" s="92"/>
      <c r="L16" s="92"/>
    </row>
    <row r="17" spans="2:12" ht="12.75">
      <c r="B17" s="108" t="s">
        <v>88</v>
      </c>
      <c r="C17" s="122">
        <f>(UF_Z-UA_Z)/(UF_X-UA_X)</f>
        <v>-0.15</v>
      </c>
      <c r="D17" s="109" t="s">
        <v>9</v>
      </c>
      <c r="E17" s="29"/>
      <c r="F17" s="123"/>
      <c r="I17" s="92"/>
      <c r="J17" s="92"/>
      <c r="K17" s="92"/>
      <c r="L17" s="92"/>
    </row>
    <row r="18" spans="2:12" ht="15.75">
      <c r="B18" s="117" t="s">
        <v>6</v>
      </c>
      <c r="C18" s="81" t="s">
        <v>1</v>
      </c>
      <c r="D18" s="81" t="s">
        <v>0</v>
      </c>
      <c r="E18" s="81" t="s">
        <v>5</v>
      </c>
      <c r="F18" s="82"/>
      <c r="I18" s="92"/>
      <c r="J18" s="92"/>
      <c r="K18" s="92"/>
      <c r="L18" s="92"/>
    </row>
    <row r="19" spans="2:23" s="93" customFormat="1" ht="12.75">
      <c r="B19" s="88" t="s">
        <v>23</v>
      </c>
      <c r="C19" s="111">
        <f>LF_X</f>
        <v>29.5</v>
      </c>
      <c r="D19" s="111">
        <f>LF_Y</f>
        <v>14</v>
      </c>
      <c r="E19" s="111">
        <f>LF_Z</f>
        <v>17.5</v>
      </c>
      <c r="F19" s="87" t="s">
        <v>10</v>
      </c>
      <c r="P19" s="92"/>
      <c r="Q19" s="92"/>
      <c r="R19" s="92"/>
      <c r="W19" s="92"/>
    </row>
    <row r="20" spans="2:23" s="107" customFormat="1" ht="12.75">
      <c r="B20" s="88" t="s">
        <v>24</v>
      </c>
      <c r="C20" s="111">
        <f>LA_X</f>
        <v>3.5</v>
      </c>
      <c r="D20" s="111">
        <f>LA_Y</f>
        <v>19</v>
      </c>
      <c r="E20" s="111">
        <f>LA_Z</f>
        <v>17</v>
      </c>
      <c r="F20" s="87" t="s">
        <v>10</v>
      </c>
      <c r="P20" s="105"/>
      <c r="Q20" s="105"/>
      <c r="R20" s="105"/>
      <c r="W20" s="105"/>
    </row>
    <row r="21" spans="2:6" s="105" customFormat="1" ht="12.75">
      <c r="B21" s="91" t="s">
        <v>13</v>
      </c>
      <c r="C21" s="89">
        <f>(LF_X-LA_X)</f>
        <v>26</v>
      </c>
      <c r="D21" s="89">
        <f>(LF_Y-LA_Y)</f>
        <v>-5</v>
      </c>
      <c r="E21" s="89">
        <f>(LF_Z-LA_Z)</f>
        <v>0.5</v>
      </c>
      <c r="F21" s="87" t="s">
        <v>10</v>
      </c>
    </row>
    <row r="22" spans="2:6" s="105" customFormat="1" ht="12.75">
      <c r="B22" s="91" t="s">
        <v>108</v>
      </c>
      <c r="C22" s="90">
        <f>(C21^2+D21^2+E21^2)^(0.5)</f>
        <v>26.48112535373072</v>
      </c>
      <c r="D22" s="86" t="s">
        <v>10</v>
      </c>
      <c r="E22" s="90"/>
      <c r="F22" s="87"/>
    </row>
    <row r="23" spans="2:12" ht="12.75">
      <c r="B23" s="30" t="s">
        <v>14</v>
      </c>
      <c r="C23" s="25">
        <f>(C21/$C$22)</f>
        <v>0.9818313856641693</v>
      </c>
      <c r="D23" s="25">
        <f>(D21/$C$22)</f>
        <v>-0.18881372801234025</v>
      </c>
      <c r="E23" s="25">
        <f>(E21/$C$22)</f>
        <v>0.018881372801234024</v>
      </c>
      <c r="F23" s="26">
        <f>(C23^2+D23^2+E23^2)^0.5</f>
        <v>1</v>
      </c>
      <c r="I23" s="92"/>
      <c r="J23" s="92"/>
      <c r="K23" s="92"/>
      <c r="L23" s="92"/>
    </row>
    <row r="24" spans="2:12" ht="12.75">
      <c r="B24" s="30" t="s">
        <v>15</v>
      </c>
      <c r="C24" s="25">
        <f>IF(ISERROR(INTERCEPT(LF_X:LA_X,LF_Y:LA_Y)),"Parallel",(INTERCEPT(LF_X:LA_X,LF_Y:LA_Y)))</f>
        <v>102.3</v>
      </c>
      <c r="D24" s="25">
        <f>INTERCEPT(LF_Y:LA_Y,LF_X:LA_X)</f>
        <v>19.673076923076923</v>
      </c>
      <c r="E24" s="25">
        <f>INTERCEPT(LF_Z:LA_Z,LF_X:LA_X)</f>
        <v>16.932692307692307</v>
      </c>
      <c r="F24" s="106" t="s">
        <v>10</v>
      </c>
      <c r="I24" s="92"/>
      <c r="J24" s="92"/>
      <c r="K24" s="92"/>
      <c r="L24" s="92"/>
    </row>
    <row r="25" spans="2:6" s="105" customFormat="1" ht="12.75">
      <c r="B25" s="30" t="s">
        <v>16</v>
      </c>
      <c r="C25" s="25">
        <f>(C24)</f>
        <v>102.3</v>
      </c>
      <c r="D25" s="25">
        <v>0</v>
      </c>
      <c r="E25" s="25">
        <f>IF(C24="Parallel","N/A",(C29*C24+E24))</f>
        <v>18.9</v>
      </c>
      <c r="F25" s="106" t="s">
        <v>10</v>
      </c>
    </row>
    <row r="26" spans="2:12" ht="12.75">
      <c r="B26" s="88" t="s">
        <v>109</v>
      </c>
      <c r="C26" s="93">
        <f>(-(Vehicle_Mass*Acceleration/2)*UA_Z)/(C23*(UA_Z-LA_Z)+E23*LA_X)</f>
        <v>-35981.50524821576</v>
      </c>
      <c r="D26" s="112" t="str">
        <f>IF(C26&lt;0,"lb (Compression)","lb (Tension)")</f>
        <v>lb (Compression)</v>
      </c>
      <c r="E26" s="95"/>
      <c r="F26" s="87"/>
      <c r="I26" s="92"/>
      <c r="J26" s="92"/>
      <c r="K26" s="92"/>
      <c r="L26" s="92"/>
    </row>
    <row r="27" spans="2:12" ht="12.75">
      <c r="B27" s="91" t="s">
        <v>110</v>
      </c>
      <c r="C27" s="90">
        <f>($C26*C23)</f>
        <v>-35327.77115613826</v>
      </c>
      <c r="D27" s="90">
        <f>($C26*D23)</f>
        <v>6793.802145411204</v>
      </c>
      <c r="E27" s="90">
        <f>($C26*E23)</f>
        <v>-679.3802145411204</v>
      </c>
      <c r="F27" s="87" t="s">
        <v>11</v>
      </c>
      <c r="I27" s="92"/>
      <c r="J27" s="92"/>
      <c r="K27" s="92"/>
      <c r="L27" s="92"/>
    </row>
    <row r="28" spans="2:12" ht="12.75">
      <c r="B28" s="30" t="s">
        <v>89</v>
      </c>
      <c r="C28" s="107">
        <f>(LF_Y-LA_Y)/(LF_X-LA_X)</f>
        <v>-0.19230769230769232</v>
      </c>
      <c r="D28" s="24" t="s">
        <v>9</v>
      </c>
      <c r="E28" s="25"/>
      <c r="F28" s="106"/>
      <c r="I28" s="92"/>
      <c r="J28" s="92"/>
      <c r="K28" s="92"/>
      <c r="L28" s="92"/>
    </row>
    <row r="29" spans="2:6" s="105" customFormat="1" ht="12.75">
      <c r="B29" s="113" t="s">
        <v>88</v>
      </c>
      <c r="C29" s="122">
        <f>(LF_Z-LA_Z)/(LF_X-LA_X)</f>
        <v>0.019230769230769232</v>
      </c>
      <c r="D29" s="114" t="s">
        <v>9</v>
      </c>
      <c r="E29" s="115"/>
      <c r="F29" s="116"/>
    </row>
    <row r="30" spans="2:12" ht="15.75">
      <c r="B30" s="241" t="s">
        <v>87</v>
      </c>
      <c r="C30" s="241"/>
      <c r="D30" s="241"/>
      <c r="E30" s="241"/>
      <c r="F30" s="241"/>
      <c r="I30" s="92"/>
      <c r="J30" s="92"/>
      <c r="K30" s="92"/>
      <c r="L30" s="92"/>
    </row>
    <row r="31" spans="2:12" ht="12.75">
      <c r="B31" s="118" t="s">
        <v>8</v>
      </c>
      <c r="C31" s="119">
        <f>IF(C35="Parallel",C29*100/(C4/Wheelbase),((C36/C35)*(Wheelbase/C4))*100)</f>
        <v>99.94478975193745</v>
      </c>
      <c r="D31" s="120" t="s">
        <v>7</v>
      </c>
      <c r="E31" s="120"/>
      <c r="F31" s="121"/>
      <c r="I31" s="92"/>
      <c r="J31" s="92"/>
      <c r="K31" s="92"/>
      <c r="L31" s="92"/>
    </row>
    <row r="32" spans="2:12" ht="12.75">
      <c r="B32" s="30" t="s">
        <v>68</v>
      </c>
      <c r="C32" s="107">
        <f>IF(C24="Parallel",C29,IF(C12="Parallel",C17,(E25-E13)/(C24-C12)))</f>
        <v>-0.07185122569737955</v>
      </c>
      <c r="D32" s="86" t="str">
        <f>IF(C32&lt;0,"in/in (Roll Understeer)","in/in (Roll Oversteer)")</f>
        <v>in/in (Roll Understeer)</v>
      </c>
      <c r="E32" s="124"/>
      <c r="F32" s="125"/>
      <c r="I32" s="92"/>
      <c r="J32" s="92"/>
      <c r="K32" s="92"/>
      <c r="L32" s="92"/>
    </row>
    <row r="33" spans="2:12" ht="12.75">
      <c r="B33" s="88" t="s">
        <v>69</v>
      </c>
      <c r="C33" s="93">
        <f>IF(ISERROR((C32*-C12)+E13),(C32*-C24)+E25,(C32*-C12)+E13)</f>
        <v>26.250380388841926</v>
      </c>
      <c r="D33" s="86" t="s">
        <v>10</v>
      </c>
      <c r="E33" s="99"/>
      <c r="F33" s="100"/>
      <c r="I33" s="92"/>
      <c r="J33" s="92"/>
      <c r="K33" s="92"/>
      <c r="L33" s="92"/>
    </row>
    <row r="34" spans="2:12" ht="12.75">
      <c r="B34" s="88" t="s">
        <v>70</v>
      </c>
      <c r="C34" s="93">
        <f>(DEGREES(ATAN(C32)))</f>
        <v>-4.109709435285316</v>
      </c>
      <c r="D34" s="86" t="str">
        <f>IF(C34&lt;0,"degrees (Roll Understeer)","degrees (Roll Oversteer)")</f>
        <v>degrees (Roll Understeer)</v>
      </c>
      <c r="F34" s="96"/>
      <c r="I34" s="92"/>
      <c r="J34" s="92"/>
      <c r="K34" s="92"/>
      <c r="L34" s="92"/>
    </row>
    <row r="35" spans="2:12" ht="12.75">
      <c r="B35" s="88" t="s">
        <v>31</v>
      </c>
      <c r="C35" s="210">
        <f>IF(ISERROR((E12-E24)*(-1/(C17-C29))),"Parallel",(E12-E24)*(-1/(C17-C29)))</f>
        <v>47.670454545454554</v>
      </c>
      <c r="D35" s="92" t="s">
        <v>10</v>
      </c>
      <c r="F35" s="96"/>
      <c r="I35" s="92"/>
      <c r="J35" s="92"/>
      <c r="K35" s="92"/>
      <c r="L35" s="92"/>
    </row>
    <row r="36" spans="2:12" ht="12.75">
      <c r="B36" s="103" t="s">
        <v>42</v>
      </c>
      <c r="C36" s="211">
        <f>IF(ISERROR((C17*C35+E12)),"Parallel",(C17*C35+E12))</f>
        <v>17.849431818181817</v>
      </c>
      <c r="D36" s="101" t="s">
        <v>10</v>
      </c>
      <c r="E36" s="101"/>
      <c r="F36" s="102"/>
      <c r="I36" s="92"/>
      <c r="J36" s="92"/>
      <c r="K36" s="92"/>
      <c r="L36" s="92"/>
    </row>
    <row r="37" spans="2:12" ht="12.75">
      <c r="B37" s="112"/>
      <c r="I37" s="92"/>
      <c r="J37" s="92"/>
      <c r="K37" s="92"/>
      <c r="L37" s="92"/>
    </row>
    <row r="38" spans="9:12" ht="12.75">
      <c r="I38" s="92"/>
      <c r="J38" s="92"/>
      <c r="K38" s="92"/>
      <c r="L38" s="92"/>
    </row>
    <row r="39" spans="9:12" ht="12.75">
      <c r="I39" s="92"/>
      <c r="J39" s="92"/>
      <c r="K39" s="92"/>
      <c r="L39" s="92"/>
    </row>
  </sheetData>
  <sheetProtection/>
  <mergeCells count="4">
    <mergeCell ref="I1:J1"/>
    <mergeCell ref="B5:F5"/>
    <mergeCell ref="B30:F30"/>
    <mergeCell ref="B1:F1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AC144"/>
  <sheetViews>
    <sheetView showGridLines="0" zoomScale="75" zoomScaleNormal="75" zoomScalePageLayoutView="0" workbookViewId="0" topLeftCell="B1">
      <selection activeCell="C3" sqref="C3"/>
    </sheetView>
  </sheetViews>
  <sheetFormatPr defaultColWidth="17.8515625" defaultRowHeight="12.75"/>
  <cols>
    <col min="1" max="1" width="1.421875" style="10" customWidth="1"/>
    <col min="2" max="2" width="18.8515625" style="9" bestFit="1" customWidth="1"/>
    <col min="3" max="3" width="8.8515625" style="10" bestFit="1" customWidth="1"/>
    <col min="4" max="4" width="7.421875" style="10" bestFit="1" customWidth="1"/>
    <col min="5" max="5" width="8.57421875" style="10" bestFit="1" customWidth="1"/>
    <col min="6" max="6" width="6.7109375" style="10" bestFit="1" customWidth="1"/>
    <col min="7" max="7" width="2.421875" style="10" bestFit="1" customWidth="1"/>
    <col min="8" max="8" width="18.8515625" style="10" bestFit="1" customWidth="1"/>
    <col min="9" max="9" width="8.7109375" style="10" bestFit="1" customWidth="1"/>
    <col min="10" max="10" width="9.28125" style="10" bestFit="1" customWidth="1"/>
    <col min="11" max="11" width="8.421875" style="10" bestFit="1" customWidth="1"/>
    <col min="12" max="12" width="13.8515625" style="10" customWidth="1"/>
    <col min="13" max="15" width="6.7109375" style="10" bestFit="1" customWidth="1"/>
    <col min="16" max="16384" width="17.8515625" style="10" customWidth="1"/>
  </cols>
  <sheetData>
    <row r="1" spans="2:7" ht="20.25">
      <c r="B1" s="238" t="str">
        <f>Main!B1</f>
        <v>4 Bar Linkage Calculator v3.0</v>
      </c>
      <c r="C1" s="238"/>
      <c r="D1" s="238"/>
      <c r="E1" s="238"/>
      <c r="F1" s="238"/>
      <c r="G1" s="55"/>
    </row>
    <row r="2" spans="2:7" ht="20.25">
      <c r="B2" s="9" t="s">
        <v>175</v>
      </c>
      <c r="C2" s="219">
        <v>3</v>
      </c>
      <c r="D2" s="15" t="s">
        <v>10</v>
      </c>
      <c r="E2" s="55"/>
      <c r="F2" s="55"/>
      <c r="G2" s="55"/>
    </row>
    <row r="3" spans="2:9" ht="12.75">
      <c r="B3" s="34" t="s">
        <v>173</v>
      </c>
      <c r="C3" s="33">
        <v>0</v>
      </c>
      <c r="D3" s="11" t="s">
        <v>10</v>
      </c>
      <c r="E3" s="9" t="s">
        <v>145</v>
      </c>
      <c r="F3" s="215">
        <f>K21-E21</f>
        <v>0</v>
      </c>
      <c r="G3" s="11" t="s">
        <v>10</v>
      </c>
      <c r="H3" s="217" t="s">
        <v>174</v>
      </c>
      <c r="I3" s="218">
        <f>I85-I88</f>
        <v>0</v>
      </c>
    </row>
    <row r="4" spans="2:14" ht="15.75">
      <c r="B4" s="237" t="s">
        <v>98</v>
      </c>
      <c r="C4" s="237"/>
      <c r="D4" s="237"/>
      <c r="E4" s="237"/>
      <c r="F4" s="237"/>
      <c r="G4" s="31"/>
      <c r="H4" s="237" t="s">
        <v>99</v>
      </c>
      <c r="I4" s="237"/>
      <c r="J4" s="237"/>
      <c r="K4" s="237"/>
      <c r="L4" s="237"/>
      <c r="N4" s="24"/>
    </row>
    <row r="5" spans="2:14" ht="15.75">
      <c r="B5" s="37" t="s">
        <v>4</v>
      </c>
      <c r="C5" s="81" t="s">
        <v>1</v>
      </c>
      <c r="D5" s="81" t="s">
        <v>0</v>
      </c>
      <c r="E5" s="81" t="s">
        <v>5</v>
      </c>
      <c r="F5" s="82"/>
      <c r="G5" s="212"/>
      <c r="H5" s="84" t="s">
        <v>4</v>
      </c>
      <c r="I5" s="81" t="s">
        <v>1</v>
      </c>
      <c r="J5" s="81" t="s">
        <v>0</v>
      </c>
      <c r="K5" s="81" t="s">
        <v>5</v>
      </c>
      <c r="L5" s="85"/>
      <c r="N5" s="86"/>
    </row>
    <row r="6" spans="2:14" ht="12.75">
      <c r="B6" s="14" t="s">
        <v>23</v>
      </c>
      <c r="C6" s="126">
        <f>UF_X</f>
        <v>20</v>
      </c>
      <c r="D6" s="126">
        <f>UF_Y</f>
        <v>13.5</v>
      </c>
      <c r="E6" s="126">
        <f>UF_Z</f>
        <v>22</v>
      </c>
      <c r="F6" s="87" t="s">
        <v>10</v>
      </c>
      <c r="G6" s="112"/>
      <c r="H6" s="14" t="str">
        <f>B6</f>
        <v>Frame End</v>
      </c>
      <c r="I6" s="126">
        <f>C6</f>
        <v>20</v>
      </c>
      <c r="J6" s="126">
        <f>D6</f>
        <v>13.5</v>
      </c>
      <c r="K6" s="126">
        <f>E6</f>
        <v>22</v>
      </c>
      <c r="L6" s="171" t="str">
        <f>F6</f>
        <v>in</v>
      </c>
      <c r="N6" s="86"/>
    </row>
    <row r="7" spans="2:14" ht="12.75">
      <c r="B7" s="14" t="s">
        <v>24</v>
      </c>
      <c r="C7" s="126">
        <f>UA_X</f>
        <v>0</v>
      </c>
      <c r="D7" s="126">
        <f>UA_Y</f>
        <v>6</v>
      </c>
      <c r="E7" s="126">
        <f>UA_Z</f>
        <v>25</v>
      </c>
      <c r="F7" s="87" t="s">
        <v>10</v>
      </c>
      <c r="G7" s="112"/>
      <c r="H7" s="14" t="s">
        <v>24</v>
      </c>
      <c r="I7" s="127">
        <f>C83</f>
        <v>0</v>
      </c>
      <c r="J7" s="126">
        <f>D7</f>
        <v>6</v>
      </c>
      <c r="K7" s="127">
        <f>D83</f>
        <v>25</v>
      </c>
      <c r="L7" s="87" t="s">
        <v>10</v>
      </c>
      <c r="N7" s="86"/>
    </row>
    <row r="8" spans="2:14" ht="12.75">
      <c r="B8" s="14" t="s">
        <v>13</v>
      </c>
      <c r="C8" s="89">
        <f>(C6-C7)</f>
        <v>20</v>
      </c>
      <c r="D8" s="89">
        <f>(D6-D7)</f>
        <v>7.5</v>
      </c>
      <c r="E8" s="89">
        <f>(E6-E7)</f>
        <v>-3</v>
      </c>
      <c r="F8" s="87" t="s">
        <v>10</v>
      </c>
      <c r="G8" s="112"/>
      <c r="H8" s="88" t="s">
        <v>13</v>
      </c>
      <c r="I8" s="89">
        <f>(I6-I7)</f>
        <v>20</v>
      </c>
      <c r="J8" s="89">
        <f>(J6-J7)</f>
        <v>7.5</v>
      </c>
      <c r="K8" s="89">
        <f>(K6-K7)</f>
        <v>-3</v>
      </c>
      <c r="L8" s="87" t="s">
        <v>10</v>
      </c>
      <c r="N8" s="86"/>
    </row>
    <row r="9" spans="2:14" ht="12.75">
      <c r="B9" s="30" t="s">
        <v>108</v>
      </c>
      <c r="C9" s="90">
        <f>(C8^2+D8^2+E8^2)^(0.5)</f>
        <v>21.569654610122992</v>
      </c>
      <c r="D9" s="86" t="s">
        <v>10</v>
      </c>
      <c r="E9" s="90"/>
      <c r="F9" s="87"/>
      <c r="G9" s="112"/>
      <c r="H9" s="91" t="s">
        <v>108</v>
      </c>
      <c r="I9" s="90">
        <f>(I8^2+J8^2+K8^2)^(0.5)</f>
        <v>21.569654610122992</v>
      </c>
      <c r="J9" s="86" t="s">
        <v>10</v>
      </c>
      <c r="K9" s="90"/>
      <c r="L9" s="87"/>
      <c r="N9" s="86"/>
    </row>
    <row r="10" spans="2:14" ht="12.75">
      <c r="B10" s="30" t="s">
        <v>113</v>
      </c>
      <c r="C10" s="90">
        <f>SQRT((E7-E21)^2+(C7-C21)^2)</f>
        <v>8.73212459828649</v>
      </c>
      <c r="D10" s="86"/>
      <c r="E10" s="90"/>
      <c r="F10" s="87"/>
      <c r="G10" s="112"/>
      <c r="H10" s="91" t="s">
        <v>113</v>
      </c>
      <c r="I10" s="90">
        <f>SQRT((K7-K21)^2+(I7-I21)^2)</f>
        <v>8.73212459828649</v>
      </c>
      <c r="J10" s="86"/>
      <c r="K10" s="90"/>
      <c r="L10" s="87"/>
      <c r="N10" s="86"/>
    </row>
    <row r="11" spans="2:14" ht="15.75">
      <c r="B11" s="30"/>
      <c r="C11" s="90"/>
      <c r="D11" s="86"/>
      <c r="E11" s="90"/>
      <c r="F11" s="87"/>
      <c r="G11" s="112"/>
      <c r="H11" s="88" t="s">
        <v>93</v>
      </c>
      <c r="I11" s="92">
        <f>(C9-I9)</f>
        <v>0</v>
      </c>
      <c r="J11" s="92" t="s">
        <v>10</v>
      </c>
      <c r="K11" s="90"/>
      <c r="L11" s="87"/>
      <c r="N11" s="86"/>
    </row>
    <row r="12" spans="2:14" s="105" customFormat="1" ht="12.75">
      <c r="B12" s="30" t="s">
        <v>14</v>
      </c>
      <c r="C12" s="25">
        <f>(C8/$C$9)</f>
        <v>0.9272285700214075</v>
      </c>
      <c r="D12" s="25">
        <f>(D8/$C$9)</f>
        <v>0.34771071375802776</v>
      </c>
      <c r="E12" s="25">
        <f>(E8/$C$9)</f>
        <v>-0.1390842855032111</v>
      </c>
      <c r="F12" s="26">
        <f>(C12^2+D12^2+E12^2)^0.5</f>
        <v>1</v>
      </c>
      <c r="G12" s="24"/>
      <c r="H12" s="30" t="s">
        <v>14</v>
      </c>
      <c r="I12" s="25">
        <f>(I8/$I$9)</f>
        <v>0.9272285700214075</v>
      </c>
      <c r="J12" s="25">
        <f>(J8/$I$9)</f>
        <v>0.34771071375802776</v>
      </c>
      <c r="K12" s="25">
        <f>(K8/$I$9)</f>
        <v>-0.1390842855032111</v>
      </c>
      <c r="L12" s="26">
        <f>(I12^2+J12^2+K12^2)^0.5</f>
        <v>1</v>
      </c>
      <c r="N12" s="24"/>
    </row>
    <row r="13" spans="2:14" s="105" customFormat="1" ht="12.75">
      <c r="B13" s="30" t="s">
        <v>15</v>
      </c>
      <c r="C13" s="25">
        <f>INTERCEPT(C6:C7,D6:D7)</f>
        <v>-16</v>
      </c>
      <c r="D13" s="25">
        <f>INTERCEPT(D6:D7,C6:C7)</f>
        <v>6</v>
      </c>
      <c r="E13" s="25">
        <f>INTERCEPT(E6:E7,C6:C7)</f>
        <v>25</v>
      </c>
      <c r="F13" s="106" t="s">
        <v>10</v>
      </c>
      <c r="G13" s="213"/>
      <c r="H13" s="30" t="s">
        <v>15</v>
      </c>
      <c r="I13" s="25">
        <f>INTERCEPT(I6:I7,J6:J7)</f>
        <v>-16</v>
      </c>
      <c r="J13" s="25">
        <f>INTERCEPT(J6:J7,I6:I7)</f>
        <v>6</v>
      </c>
      <c r="K13" s="25">
        <f>INTERCEPT(K6:K7,I6:I7)</f>
        <v>25</v>
      </c>
      <c r="L13" s="106" t="s">
        <v>10</v>
      </c>
      <c r="N13" s="24"/>
    </row>
    <row r="14" spans="2:14" s="105" customFormat="1" ht="12.75">
      <c r="B14" s="30" t="s">
        <v>16</v>
      </c>
      <c r="C14" s="25">
        <f>(C13)</f>
        <v>-16</v>
      </c>
      <c r="D14" s="25">
        <v>0</v>
      </c>
      <c r="E14" s="25">
        <f>(C17*C13+E13)</f>
        <v>27.4</v>
      </c>
      <c r="F14" s="106" t="s">
        <v>10</v>
      </c>
      <c r="G14" s="213"/>
      <c r="H14" s="30" t="s">
        <v>16</v>
      </c>
      <c r="I14" s="25">
        <f>(I13)</f>
        <v>-16</v>
      </c>
      <c r="J14" s="25">
        <v>0</v>
      </c>
      <c r="K14" s="25">
        <f>(I17*I13+K13)</f>
        <v>27.4</v>
      </c>
      <c r="L14" s="106" t="s">
        <v>10</v>
      </c>
      <c r="N14" s="24"/>
    </row>
    <row r="15" spans="2:14" ht="12.75">
      <c r="B15" s="30"/>
      <c r="C15" s="197"/>
      <c r="D15" s="197"/>
      <c r="E15" s="197"/>
      <c r="F15" s="87"/>
      <c r="G15" s="112"/>
      <c r="H15" s="91"/>
      <c r="I15" s="90"/>
      <c r="J15" s="90"/>
      <c r="K15" s="90"/>
      <c r="L15" s="87"/>
      <c r="N15" s="86"/>
    </row>
    <row r="16" spans="2:14" s="105" customFormat="1" ht="12.75">
      <c r="B16" s="30" t="s">
        <v>89</v>
      </c>
      <c r="C16" s="107">
        <f>(D6-D7)/(C6-C7)</f>
        <v>0.375</v>
      </c>
      <c r="D16" s="24" t="s">
        <v>9</v>
      </c>
      <c r="E16" s="25"/>
      <c r="F16" s="106"/>
      <c r="G16" s="213"/>
      <c r="H16" s="30" t="s">
        <v>89</v>
      </c>
      <c r="I16" s="107">
        <f>(J6-J7)/(I6-I7)</f>
        <v>0.375</v>
      </c>
      <c r="J16" s="24" t="s">
        <v>9</v>
      </c>
      <c r="K16" s="25"/>
      <c r="L16" s="106"/>
      <c r="N16" s="24"/>
    </row>
    <row r="17" spans="2:29" s="105" customFormat="1" ht="12.75">
      <c r="B17" s="30" t="s">
        <v>88</v>
      </c>
      <c r="C17" s="107">
        <f>(E6-E7)/(C6-C7)</f>
        <v>-0.15</v>
      </c>
      <c r="D17" s="24" t="s">
        <v>9</v>
      </c>
      <c r="E17" s="25"/>
      <c r="F17" s="106"/>
      <c r="G17" s="213"/>
      <c r="H17" s="30" t="s">
        <v>88</v>
      </c>
      <c r="I17" s="107">
        <f>(K6-K7)/(I6-I7)</f>
        <v>-0.15</v>
      </c>
      <c r="J17" s="24" t="s">
        <v>9</v>
      </c>
      <c r="K17" s="25"/>
      <c r="L17" s="106"/>
      <c r="N17" s="24"/>
      <c r="AA17" s="107"/>
      <c r="AB17" s="107"/>
      <c r="AC17" s="107"/>
    </row>
    <row r="18" spans="2:14" ht="12.75">
      <c r="B18" s="14" t="s">
        <v>17</v>
      </c>
      <c r="C18" s="196">
        <f>((Main!$C$7/2)*E21)/(C12*(E7-E21)+E12*C7)</f>
        <v>4354.374024418579</v>
      </c>
      <c r="D18" s="94" t="s">
        <v>11</v>
      </c>
      <c r="E18" s="95"/>
      <c r="F18" s="96"/>
      <c r="G18" s="92"/>
      <c r="H18" s="88" t="s">
        <v>17</v>
      </c>
      <c r="I18" s="196">
        <f>((Main!$C$7/2)*K21)/(I12*(K7-K21)+K12*I7)</f>
        <v>4354.374024418579</v>
      </c>
      <c r="J18" s="94" t="s">
        <v>11</v>
      </c>
      <c r="K18" s="95"/>
      <c r="L18" s="96"/>
      <c r="N18" s="92"/>
    </row>
    <row r="19" spans="2:14" ht="15.75">
      <c r="B19" s="50" t="s">
        <v>6</v>
      </c>
      <c r="C19" s="95" t="s">
        <v>1</v>
      </c>
      <c r="D19" s="95" t="s">
        <v>0</v>
      </c>
      <c r="E19" s="95" t="s">
        <v>5</v>
      </c>
      <c r="F19" s="87"/>
      <c r="G19" s="112"/>
      <c r="H19" s="97" t="s">
        <v>6</v>
      </c>
      <c r="I19" s="95" t="s">
        <v>1</v>
      </c>
      <c r="J19" s="95" t="s">
        <v>0</v>
      </c>
      <c r="K19" s="95" t="s">
        <v>5</v>
      </c>
      <c r="L19" s="87"/>
      <c r="N19" s="92"/>
    </row>
    <row r="20" spans="2:14" ht="12.75">
      <c r="B20" s="14" t="s">
        <v>23</v>
      </c>
      <c r="C20" s="126">
        <f>Main!G7</f>
        <v>29.5</v>
      </c>
      <c r="D20" s="126">
        <f>Main!H7</f>
        <v>14</v>
      </c>
      <c r="E20" s="126">
        <f>Main!I7</f>
        <v>17.5</v>
      </c>
      <c r="F20" s="87" t="s">
        <v>10</v>
      </c>
      <c r="G20" s="112"/>
      <c r="H20" s="88" t="s">
        <v>23</v>
      </c>
      <c r="I20" s="126">
        <f>$C$20</f>
        <v>29.5</v>
      </c>
      <c r="J20" s="126">
        <f>$D$20</f>
        <v>14</v>
      </c>
      <c r="K20" s="126">
        <f>$E$20</f>
        <v>17.5</v>
      </c>
      <c r="L20" s="87" t="s">
        <v>10</v>
      </c>
      <c r="N20" s="92"/>
    </row>
    <row r="21" spans="2:14" ht="12.75">
      <c r="B21" s="14" t="s">
        <v>24</v>
      </c>
      <c r="C21" s="126">
        <f>Main!G8</f>
        <v>3.5</v>
      </c>
      <c r="D21" s="126">
        <f>Main!H8</f>
        <v>19</v>
      </c>
      <c r="E21" s="126">
        <f>Main!I8</f>
        <v>17</v>
      </c>
      <c r="F21" s="87" t="s">
        <v>10</v>
      </c>
      <c r="G21" s="112"/>
      <c r="H21" s="88" t="s">
        <v>24</v>
      </c>
      <c r="I21" s="127">
        <f>C81</f>
        <v>3.5</v>
      </c>
      <c r="J21" s="126">
        <f>$D$21</f>
        <v>19</v>
      </c>
      <c r="K21" s="127">
        <f>D81</f>
        <v>17</v>
      </c>
      <c r="L21" s="87" t="s">
        <v>10</v>
      </c>
      <c r="N21" s="92"/>
    </row>
    <row r="22" spans="2:14" ht="12.75">
      <c r="B22" s="30" t="s">
        <v>13</v>
      </c>
      <c r="C22" s="89">
        <f>(C20-C21)</f>
        <v>26</v>
      </c>
      <c r="D22" s="89">
        <f>(D20-D21)</f>
        <v>-5</v>
      </c>
      <c r="E22" s="89">
        <f>(E20-E21)</f>
        <v>0.5</v>
      </c>
      <c r="F22" s="87" t="s">
        <v>10</v>
      </c>
      <c r="G22" s="112"/>
      <c r="H22" s="91" t="s">
        <v>13</v>
      </c>
      <c r="I22" s="89">
        <f>(I20-I21)</f>
        <v>26</v>
      </c>
      <c r="J22" s="89">
        <f>(J20-J21)</f>
        <v>-5</v>
      </c>
      <c r="K22" s="89">
        <f>(K20-K21)</f>
        <v>0.5</v>
      </c>
      <c r="L22" s="87" t="s">
        <v>10</v>
      </c>
      <c r="N22" s="92"/>
    </row>
    <row r="23" spans="2:29" s="5" customFormat="1" ht="12.75">
      <c r="B23" s="30" t="s">
        <v>43</v>
      </c>
      <c r="C23" s="90">
        <f>(C22^2+D22^2+E22^2)^(0.5)</f>
        <v>26.48112535373072</v>
      </c>
      <c r="D23" s="86" t="s">
        <v>10</v>
      </c>
      <c r="E23" s="90"/>
      <c r="F23" s="87"/>
      <c r="G23" s="112"/>
      <c r="H23" s="91" t="s">
        <v>43</v>
      </c>
      <c r="I23" s="90">
        <f>(I22^2+J22^2+K22^2)^(0.5)</f>
        <v>26.48112535373072</v>
      </c>
      <c r="J23" s="86" t="s">
        <v>10</v>
      </c>
      <c r="K23" s="90"/>
      <c r="L23" s="87"/>
      <c r="N23" s="92"/>
      <c r="AA23" s="10"/>
      <c r="AB23" s="10"/>
      <c r="AC23" s="10"/>
    </row>
    <row r="24" spans="2:29" s="107" customFormat="1" ht="12.75">
      <c r="B24" s="30" t="s">
        <v>14</v>
      </c>
      <c r="C24" s="25">
        <f>(C22/$C$23)</f>
        <v>0.9818313856641693</v>
      </c>
      <c r="D24" s="25">
        <f>(D22/$C$23)</f>
        <v>-0.18881372801234025</v>
      </c>
      <c r="E24" s="25">
        <f>(E22/$C$23)</f>
        <v>0.018881372801234024</v>
      </c>
      <c r="F24" s="26">
        <f>(C24^2+D24^2+E24^2)^0.5</f>
        <v>1</v>
      </c>
      <c r="G24" s="24"/>
      <c r="H24" s="30" t="s">
        <v>14</v>
      </c>
      <c r="I24" s="25">
        <f>(I22/I23)</f>
        <v>0.9818313856641693</v>
      </c>
      <c r="J24" s="25">
        <f>(J22/I23)</f>
        <v>-0.18881372801234025</v>
      </c>
      <c r="K24" s="25">
        <f>(K22/I23)</f>
        <v>0.018881372801234024</v>
      </c>
      <c r="L24" s="26">
        <f>(I24^2+J24^2+K24^2)^0.5</f>
        <v>1</v>
      </c>
      <c r="N24" s="105"/>
      <c r="AA24" s="105"/>
      <c r="AB24" s="105"/>
      <c r="AC24" s="105"/>
    </row>
    <row r="25" spans="2:14" ht="12.75">
      <c r="B25" s="30" t="s">
        <v>15</v>
      </c>
      <c r="C25" s="90">
        <f>INTERCEPT(C20:C21,D20:D21)</f>
        <v>102.3</v>
      </c>
      <c r="D25" s="90">
        <f>INTERCEPT(D20:D21,C20:C21)</f>
        <v>19.673076923076923</v>
      </c>
      <c r="E25" s="90">
        <f>INTERCEPT(E20:E21,C20:C21)</f>
        <v>16.932692307692307</v>
      </c>
      <c r="F25" s="87" t="s">
        <v>10</v>
      </c>
      <c r="G25" s="112"/>
      <c r="H25" s="91" t="s">
        <v>15</v>
      </c>
      <c r="I25" s="90">
        <f>INTERCEPT(I20:I21,J20:J21)</f>
        <v>102.3</v>
      </c>
      <c r="J25" s="90">
        <f>INTERCEPT(J20:J21,I20:I21)</f>
        <v>19.673076923076923</v>
      </c>
      <c r="K25" s="90">
        <f>INTERCEPT(K20:K21,I20:I21)</f>
        <v>16.932692307692307</v>
      </c>
      <c r="L25" s="87" t="s">
        <v>10</v>
      </c>
      <c r="N25" s="86"/>
    </row>
    <row r="26" spans="2:14" ht="12.75">
      <c r="B26" s="30" t="s">
        <v>16</v>
      </c>
      <c r="C26" s="90">
        <f>(C25)</f>
        <v>102.3</v>
      </c>
      <c r="D26" s="90">
        <v>0</v>
      </c>
      <c r="E26" s="90">
        <f>(C28*C25+E25)</f>
        <v>18.9</v>
      </c>
      <c r="F26" s="87" t="s">
        <v>10</v>
      </c>
      <c r="G26" s="112"/>
      <c r="H26" s="91" t="s">
        <v>16</v>
      </c>
      <c r="I26" s="90">
        <f>(I25)</f>
        <v>102.3</v>
      </c>
      <c r="J26" s="90">
        <v>0</v>
      </c>
      <c r="K26" s="90">
        <f>(I28*I25+K25)</f>
        <v>18.9</v>
      </c>
      <c r="L26" s="87" t="s">
        <v>10</v>
      </c>
      <c r="N26" s="92"/>
    </row>
    <row r="27" spans="2:12" s="105" customFormat="1" ht="12.75">
      <c r="B27" s="30" t="s">
        <v>89</v>
      </c>
      <c r="C27" s="107">
        <f>(D20-D21)/(C20-C21)</f>
        <v>-0.19230769230769232</v>
      </c>
      <c r="D27" s="24" t="s">
        <v>9</v>
      </c>
      <c r="E27" s="25"/>
      <c r="F27" s="106"/>
      <c r="G27" s="213"/>
      <c r="H27" s="30" t="s">
        <v>89</v>
      </c>
      <c r="I27" s="107">
        <f>(J20-J21)/(I20-I21)</f>
        <v>-0.19230769230769232</v>
      </c>
      <c r="J27" s="24" t="s">
        <v>9</v>
      </c>
      <c r="K27" s="25"/>
      <c r="L27" s="106"/>
    </row>
    <row r="28" spans="2:12" s="105" customFormat="1" ht="12.75">
      <c r="B28" s="30" t="s">
        <v>88</v>
      </c>
      <c r="C28" s="107">
        <f>(E20-E21)/(C20-C21)</f>
        <v>0.019230769230769232</v>
      </c>
      <c r="D28" s="24" t="s">
        <v>9</v>
      </c>
      <c r="E28" s="25"/>
      <c r="F28" s="106"/>
      <c r="G28" s="213"/>
      <c r="H28" s="30" t="s">
        <v>88</v>
      </c>
      <c r="I28" s="107">
        <f>(K20-K21)/(I20-I21)</f>
        <v>0.019230769230769232</v>
      </c>
      <c r="J28" s="24" t="s">
        <v>9</v>
      </c>
      <c r="K28" s="25"/>
      <c r="L28" s="106"/>
    </row>
    <row r="29" spans="2:14" ht="15.75">
      <c r="B29" s="246" t="s">
        <v>87</v>
      </c>
      <c r="C29" s="247"/>
      <c r="D29" s="92"/>
      <c r="E29" s="92"/>
      <c r="F29" s="96"/>
      <c r="G29" s="92"/>
      <c r="H29" s="248" t="s">
        <v>87</v>
      </c>
      <c r="I29" s="249"/>
      <c r="J29" s="92"/>
      <c r="K29" s="92"/>
      <c r="L29" s="96"/>
      <c r="N29" s="92"/>
    </row>
    <row r="30" spans="2:14" ht="12.75">
      <c r="B30" s="14" t="s">
        <v>8</v>
      </c>
      <c r="C30" s="236">
        <f>((C35/C34)*(Main!$C$3/VectorCalculations!$C$4))*100</f>
        <v>99.94478975193745</v>
      </c>
      <c r="D30" s="99" t="s">
        <v>7</v>
      </c>
      <c r="E30" s="99"/>
      <c r="F30" s="100"/>
      <c r="G30" s="99"/>
      <c r="H30" s="88" t="s">
        <v>8</v>
      </c>
      <c r="I30" s="236">
        <f>(((I35-$C$3)/I34)*(Main!$C$3/(VectorCalculations!$C$4-$C$3)))*100</f>
        <v>99.94478975193745</v>
      </c>
      <c r="J30" s="99" t="s">
        <v>7</v>
      </c>
      <c r="K30" s="99"/>
      <c r="L30" s="100"/>
      <c r="N30" s="92"/>
    </row>
    <row r="31" spans="2:14" ht="12.75">
      <c r="B31" s="30" t="s">
        <v>68</v>
      </c>
      <c r="C31" s="165">
        <f>IF(ISERROR((E26-E14)/(C25-C13)),C17,(E26-E14)/(C25-C13))</f>
        <v>-0.07185122569737955</v>
      </c>
      <c r="D31" s="243" t="str">
        <f>IF(C31&lt;0,"in/in (Roll Understeer)","in/in (Roll Oversteer)")</f>
        <v>in/in (Roll Understeer)</v>
      </c>
      <c r="E31" s="244"/>
      <c r="F31" s="245"/>
      <c r="G31" s="86"/>
      <c r="H31" s="91" t="s">
        <v>68</v>
      </c>
      <c r="I31" s="165">
        <f>IF(ISERROR((K26-K14)/(I25-I13)),I17,(K26-K14)/(I25-I13))</f>
        <v>-0.07185122569737955</v>
      </c>
      <c r="J31" s="243" t="str">
        <f>IF(I31&lt;0,"in/in (Roll Understeer)","in/in (Roll Oversteer)")</f>
        <v>in/in (Roll Understeer)</v>
      </c>
      <c r="K31" s="244"/>
      <c r="L31" s="245"/>
      <c r="N31" s="92"/>
    </row>
    <row r="32" spans="2:14" ht="12.75">
      <c r="B32" s="14" t="s">
        <v>69</v>
      </c>
      <c r="C32" s="98">
        <f>(C31*-C13)+E14</f>
        <v>26.250380388841926</v>
      </c>
      <c r="D32" s="86" t="s">
        <v>10</v>
      </c>
      <c r="E32" s="99"/>
      <c r="F32" s="100"/>
      <c r="G32" s="99"/>
      <c r="H32" s="88" t="s">
        <v>69</v>
      </c>
      <c r="I32" s="98">
        <f>(I31*-I13)+K14</f>
        <v>26.250380388841926</v>
      </c>
      <c r="J32" s="86" t="s">
        <v>10</v>
      </c>
      <c r="K32" s="99"/>
      <c r="L32" s="100"/>
      <c r="N32" s="92"/>
    </row>
    <row r="33" spans="2:14" ht="12.75">
      <c r="B33" s="14" t="s">
        <v>70</v>
      </c>
      <c r="C33" s="98">
        <f>(DEGREES(ATAN(C31)))</f>
        <v>-4.109709435285316</v>
      </c>
      <c r="D33" s="243" t="str">
        <f>IF(C33&lt;0,"degrees (Roll Understeer)","degrees (Roll Oversteer)")</f>
        <v>degrees (Roll Understeer)</v>
      </c>
      <c r="E33" s="244"/>
      <c r="F33" s="245"/>
      <c r="G33" s="86"/>
      <c r="H33" s="88" t="s">
        <v>70</v>
      </c>
      <c r="I33" s="98">
        <f>(DEGREES(ATAN(I31)))</f>
        <v>-4.109709435285316</v>
      </c>
      <c r="J33" s="243" t="str">
        <f>IF(I33&lt;0,"degrees (Roll Understeer)","degrees (Roll Oversteer)")</f>
        <v>degrees (Roll Understeer)</v>
      </c>
      <c r="K33" s="244"/>
      <c r="L33" s="245"/>
      <c r="N33" s="92"/>
    </row>
    <row r="34" spans="2:14" ht="12.75">
      <c r="B34" s="14" t="s">
        <v>31</v>
      </c>
      <c r="C34" s="206">
        <f>(E13-E25)*(-1/(C17-C28))</f>
        <v>47.670454545454554</v>
      </c>
      <c r="D34" s="92" t="s">
        <v>10</v>
      </c>
      <c r="E34" s="92"/>
      <c r="F34" s="96"/>
      <c r="G34" s="92"/>
      <c r="H34" s="88" t="s">
        <v>31</v>
      </c>
      <c r="I34" s="206">
        <f>(K13-K25)*(-1/(I17-I28))</f>
        <v>47.670454545454554</v>
      </c>
      <c r="J34" s="92" t="s">
        <v>10</v>
      </c>
      <c r="K34" s="92"/>
      <c r="L34" s="96"/>
      <c r="N34" s="92"/>
    </row>
    <row r="35" spans="2:14" ht="12.75">
      <c r="B35" s="18" t="s">
        <v>42</v>
      </c>
      <c r="C35" s="206">
        <f>(C17*C34+E13)</f>
        <v>17.849431818181817</v>
      </c>
      <c r="D35" s="101" t="s">
        <v>10</v>
      </c>
      <c r="E35" s="101"/>
      <c r="F35" s="102"/>
      <c r="G35" s="101"/>
      <c r="H35" s="103" t="s">
        <v>42</v>
      </c>
      <c r="I35" s="206">
        <f>(I17*I34+K13)</f>
        <v>17.849431818181817</v>
      </c>
      <c r="J35" s="101" t="s">
        <v>10</v>
      </c>
      <c r="K35" s="101"/>
      <c r="L35" s="102"/>
      <c r="N35" s="92"/>
    </row>
    <row r="36" ht="12.75"/>
    <row r="37" spans="2:14" ht="12.75">
      <c r="B37" s="191" t="s">
        <v>77</v>
      </c>
      <c r="C37" s="174"/>
      <c r="D37" s="174"/>
      <c r="E37" s="174"/>
      <c r="F37" s="174"/>
      <c r="G37" s="174"/>
      <c r="H37" s="174"/>
      <c r="I37" s="174"/>
      <c r="J37" s="174"/>
      <c r="K37" s="175"/>
      <c r="L37" s="173" t="s">
        <v>78</v>
      </c>
      <c r="M37" s="174"/>
      <c r="N37" s="175"/>
    </row>
    <row r="38" spans="2:14" ht="12.75">
      <c r="B38" s="192"/>
      <c r="C38" s="180" t="s">
        <v>71</v>
      </c>
      <c r="D38" s="181"/>
      <c r="E38" s="180" t="s">
        <v>72</v>
      </c>
      <c r="F38" s="181"/>
      <c r="G38" s="188"/>
      <c r="H38" s="180" t="s">
        <v>74</v>
      </c>
      <c r="I38" s="181"/>
      <c r="J38" s="172" t="s">
        <v>124</v>
      </c>
      <c r="K38" s="205">
        <f>Wheelbase*20</f>
        <v>2020</v>
      </c>
      <c r="L38" s="183" t="s">
        <v>84</v>
      </c>
      <c r="M38" s="184">
        <v>80</v>
      </c>
      <c r="N38" s="185"/>
    </row>
    <row r="39" spans="2:16" ht="12.75">
      <c r="B39" s="193" t="s">
        <v>80</v>
      </c>
      <c r="C39" s="66" t="s">
        <v>1</v>
      </c>
      <c r="D39" s="67" t="s">
        <v>5</v>
      </c>
      <c r="E39" s="66" t="s">
        <v>1</v>
      </c>
      <c r="F39" s="67" t="s">
        <v>5</v>
      </c>
      <c r="G39" s="187"/>
      <c r="H39" s="66" t="s">
        <v>1</v>
      </c>
      <c r="I39" s="67" t="s">
        <v>5</v>
      </c>
      <c r="J39" s="180" t="s">
        <v>102</v>
      </c>
      <c r="K39" s="186">
        <v>3.5</v>
      </c>
      <c r="L39" s="180" t="s">
        <v>4</v>
      </c>
      <c r="M39" s="188"/>
      <c r="N39" s="181"/>
      <c r="O39" s="10" t="s">
        <v>1</v>
      </c>
      <c r="P39" s="10">
        <f>I21-C21</f>
        <v>0</v>
      </c>
    </row>
    <row r="40" spans="2:20" ht="12.75">
      <c r="B40" s="193">
        <v>0</v>
      </c>
      <c r="C40" s="66">
        <f aca="true" t="shared" si="0" ref="C40:C64">(Wheelbase-(SIN(RADIANS(B40)))*(Tire_Diameter/2))</f>
        <v>101</v>
      </c>
      <c r="D40" s="67">
        <f aca="true" t="shared" si="1" ref="D40:D64">IF((Tire_Rolling_Radius-((COS(RADIANS(B40)))*(Tire_Diameter/2)))&lt;0,0,(Tire_Rolling_Radius-((COS(RADIANS(B40)))*(Tire_Diameter/2))))</f>
        <v>0</v>
      </c>
      <c r="E40" s="66">
        <f aca="true" t="shared" si="2" ref="E40:E64">((SIN(RADIANS(B40)))*(Tire_Diameter/2))+$P$39</f>
        <v>0</v>
      </c>
      <c r="F40" s="67">
        <f>(D40)+$C$3</f>
        <v>0</v>
      </c>
      <c r="G40" s="187"/>
      <c r="H40" s="66">
        <f>I6</f>
        <v>20</v>
      </c>
      <c r="I40" s="67">
        <f>K6</f>
        <v>22</v>
      </c>
      <c r="J40" s="66" t="s">
        <v>1</v>
      </c>
      <c r="K40" s="67" t="s">
        <v>5</v>
      </c>
      <c r="L40" s="66" t="s">
        <v>1</v>
      </c>
      <c r="M40" s="187" t="s">
        <v>0</v>
      </c>
      <c r="N40" s="67" t="s">
        <v>85</v>
      </c>
      <c r="P40" s="172"/>
      <c r="Q40" s="172"/>
      <c r="R40" s="172"/>
      <c r="S40" s="172"/>
      <c r="T40" s="172"/>
    </row>
    <row r="41" spans="2:20" ht="12.75">
      <c r="B41" s="193">
        <v>15</v>
      </c>
      <c r="C41" s="66">
        <f t="shared" si="0"/>
        <v>96.47066671070588</v>
      </c>
      <c r="D41" s="67">
        <f t="shared" si="1"/>
        <v>0.09629803994130626</v>
      </c>
      <c r="E41" s="66">
        <f t="shared" si="2"/>
        <v>4.529333289294113</v>
      </c>
      <c r="F41" s="67">
        <f aca="true" t="shared" si="3" ref="F41:F64">(D41)+$C$3</f>
        <v>0.09629803994130626</v>
      </c>
      <c r="G41" s="187"/>
      <c r="H41" s="64">
        <f>IF(ABS(I34)&gt;K38,$K$38,I34)</f>
        <v>47.670454545454554</v>
      </c>
      <c r="I41" s="65">
        <f>IF(H41=K38,H41*I17+K7,I35)</f>
        <v>17.849431818181817</v>
      </c>
      <c r="J41" s="66">
        <f>SIN(RADIANS(B40))*$K$39/2+P39</f>
        <v>0</v>
      </c>
      <c r="K41" s="67">
        <f>(COS(RADIANS(B40))*$K$39/2)+Tire_Rolling_Radius+$C$3</f>
        <v>18.75</v>
      </c>
      <c r="L41" s="66">
        <f>I6</f>
        <v>20</v>
      </c>
      <c r="M41" s="187">
        <f>J6</f>
        <v>13.5</v>
      </c>
      <c r="N41" s="67">
        <f>(M41+$M$38)</f>
        <v>93.5</v>
      </c>
      <c r="P41" s="177"/>
      <c r="Q41" s="177"/>
      <c r="R41" s="177"/>
      <c r="S41" s="177"/>
      <c r="T41" s="177"/>
    </row>
    <row r="42" spans="2:20" ht="12.75">
      <c r="B42" s="193">
        <v>30</v>
      </c>
      <c r="C42" s="66">
        <f t="shared" si="0"/>
        <v>92.25</v>
      </c>
      <c r="D42" s="67">
        <f t="shared" si="1"/>
        <v>1.8445554337723227</v>
      </c>
      <c r="E42" s="66">
        <f t="shared" si="2"/>
        <v>8.749999999999998</v>
      </c>
      <c r="F42" s="67">
        <f t="shared" si="3"/>
        <v>1.8445554337723227</v>
      </c>
      <c r="G42" s="187"/>
      <c r="H42" s="180" t="s">
        <v>73</v>
      </c>
      <c r="I42" s="181"/>
      <c r="J42" s="66">
        <f>SIN(RADIANS(B42))*$K$39/2+P39</f>
        <v>0.8749999999999999</v>
      </c>
      <c r="K42" s="67">
        <f>(COS(RADIANS(B42))*$K$39/2)+Tire_Rolling_Radius+$C$3</f>
        <v>18.515544456622766</v>
      </c>
      <c r="L42" s="66">
        <f>I7</f>
        <v>0</v>
      </c>
      <c r="M42" s="187">
        <f>J7</f>
        <v>6</v>
      </c>
      <c r="N42" s="67">
        <f>(M42+$M$38)</f>
        <v>86</v>
      </c>
      <c r="P42" s="172"/>
      <c r="Q42" s="172"/>
      <c r="R42" s="172"/>
      <c r="S42" s="172"/>
      <c r="T42" s="172"/>
    </row>
    <row r="43" spans="2:20" ht="12.75">
      <c r="B43" s="193">
        <v>45</v>
      </c>
      <c r="C43" s="66">
        <f t="shared" si="0"/>
        <v>88.62563132923542</v>
      </c>
      <c r="D43" s="67">
        <f t="shared" si="1"/>
        <v>4.625631329235418</v>
      </c>
      <c r="E43" s="66">
        <f t="shared" si="2"/>
        <v>12.37436867076458</v>
      </c>
      <c r="F43" s="67">
        <f t="shared" si="3"/>
        <v>4.625631329235418</v>
      </c>
      <c r="G43" s="187"/>
      <c r="H43" s="66" t="s">
        <v>1</v>
      </c>
      <c r="I43" s="67" t="s">
        <v>5</v>
      </c>
      <c r="J43" s="66">
        <f>SIN(RADIANS(B44))*$K$39/2+P39</f>
        <v>1.5155444566227676</v>
      </c>
      <c r="K43" s="67">
        <f>(COS(RADIANS(B44))*$K$39/2)+Tire_Rolling_Radius+$C$3</f>
        <v>17.875</v>
      </c>
      <c r="L43" s="66">
        <f>I6</f>
        <v>20</v>
      </c>
      <c r="M43" s="187">
        <f>(-M41)</f>
        <v>-13.5</v>
      </c>
      <c r="N43" s="67">
        <f>(M43+$M$38)</f>
        <v>66.5</v>
      </c>
      <c r="P43" s="172"/>
      <c r="Q43" s="172"/>
      <c r="R43" s="172"/>
      <c r="S43" s="172"/>
      <c r="T43" s="172"/>
    </row>
    <row r="44" spans="2:20" ht="12.75">
      <c r="B44" s="193">
        <v>60</v>
      </c>
      <c r="C44" s="66">
        <f t="shared" si="0"/>
        <v>85.84455543377233</v>
      </c>
      <c r="D44" s="67">
        <f t="shared" si="1"/>
        <v>8.249999999999998</v>
      </c>
      <c r="E44" s="66">
        <f t="shared" si="2"/>
        <v>15.155444566227676</v>
      </c>
      <c r="F44" s="67">
        <f t="shared" si="3"/>
        <v>8.249999999999998</v>
      </c>
      <c r="G44" s="187"/>
      <c r="H44" s="66">
        <f>I20</f>
        <v>29.5</v>
      </c>
      <c r="I44" s="67">
        <f>K20</f>
        <v>17.5</v>
      </c>
      <c r="J44" s="66">
        <f>SIN(RADIANS(B46))*$K$39/2+P39</f>
        <v>1.75</v>
      </c>
      <c r="K44" s="67">
        <f>(COS(RADIANS(B46))*$K$39/2)+Tire_Rolling_Radius+$C$3</f>
        <v>17</v>
      </c>
      <c r="L44" s="64">
        <f>I7</f>
        <v>0</v>
      </c>
      <c r="M44" s="189">
        <f>(-M42)</f>
        <v>-6</v>
      </c>
      <c r="N44" s="65">
        <f>(M44+$M$38)</f>
        <v>74</v>
      </c>
      <c r="P44" s="172"/>
      <c r="Q44" s="172"/>
      <c r="R44" s="172"/>
      <c r="S44" s="172"/>
      <c r="T44" s="172"/>
    </row>
    <row r="45" spans="2:20" ht="12.75">
      <c r="B45" s="193">
        <v>75</v>
      </c>
      <c r="C45" s="66">
        <f t="shared" si="0"/>
        <v>84.0962980399413</v>
      </c>
      <c r="D45" s="67">
        <f t="shared" si="1"/>
        <v>12.470666710705887</v>
      </c>
      <c r="E45" s="66">
        <f t="shared" si="2"/>
        <v>16.903701960058694</v>
      </c>
      <c r="F45" s="67">
        <f t="shared" si="3"/>
        <v>12.470666710705887</v>
      </c>
      <c r="G45" s="187"/>
      <c r="H45" s="64">
        <f>IF(ABS(I34)&gt;K38,$K$38,I34)</f>
        <v>47.670454545454554</v>
      </c>
      <c r="I45" s="65">
        <f>IF(H45=K38,H45*I28+K21,I35)</f>
        <v>17.849431818181817</v>
      </c>
      <c r="J45" s="66">
        <f>SIN(RADIANS(B48))*$K$39/2+P39</f>
        <v>1.5155444566227678</v>
      </c>
      <c r="K45" s="67">
        <f>(COS(RADIANS(B48))*$K$39/2)+Tire_Rolling_Radius+$C$3</f>
        <v>16.125</v>
      </c>
      <c r="L45" s="180" t="s">
        <v>74</v>
      </c>
      <c r="M45" s="188"/>
      <c r="N45" s="181"/>
      <c r="P45" s="172"/>
      <c r="Q45" s="172"/>
      <c r="R45" s="172"/>
      <c r="S45" s="172"/>
      <c r="T45" s="172"/>
    </row>
    <row r="46" spans="2:20" ht="12.75">
      <c r="B46" s="193">
        <v>90</v>
      </c>
      <c r="C46" s="66">
        <f t="shared" si="0"/>
        <v>83.5</v>
      </c>
      <c r="D46" s="67">
        <f t="shared" si="1"/>
        <v>17</v>
      </c>
      <c r="E46" s="66">
        <f t="shared" si="2"/>
        <v>17.5</v>
      </c>
      <c r="F46" s="67">
        <f t="shared" si="3"/>
        <v>17</v>
      </c>
      <c r="G46" s="187"/>
      <c r="H46" s="180" t="s">
        <v>75</v>
      </c>
      <c r="I46" s="181"/>
      <c r="J46" s="66">
        <f>SIN(RADIANS(B50))*$K$39/2+P39</f>
        <v>0.8749999999999999</v>
      </c>
      <c r="K46" s="67">
        <f>(COS(RADIANS(B50))*$K$39/2)+Tire_Rolling_Radius+$C$3</f>
        <v>15.484455543377232</v>
      </c>
      <c r="L46" s="66" t="s">
        <v>1</v>
      </c>
      <c r="M46" s="187" t="s">
        <v>0</v>
      </c>
      <c r="N46" s="67"/>
      <c r="P46" s="172"/>
      <c r="Q46" s="172"/>
      <c r="R46" s="172"/>
      <c r="S46" s="172"/>
      <c r="T46" s="172"/>
    </row>
    <row r="47" spans="2:20" ht="12.75">
      <c r="B47" s="193">
        <v>105</v>
      </c>
      <c r="C47" s="66">
        <f t="shared" si="0"/>
        <v>84.0962980399413</v>
      </c>
      <c r="D47" s="67">
        <f t="shared" si="1"/>
        <v>21.529333289294115</v>
      </c>
      <c r="E47" s="66">
        <f t="shared" si="2"/>
        <v>16.903701960058694</v>
      </c>
      <c r="F47" s="67">
        <f t="shared" si="3"/>
        <v>21.529333289294115</v>
      </c>
      <c r="G47" s="187"/>
      <c r="H47" s="66" t="s">
        <v>1</v>
      </c>
      <c r="I47" s="67" t="s">
        <v>5</v>
      </c>
      <c r="J47" s="66">
        <f>SIN(RADIANS(B52))*$K$39/2+P39</f>
        <v>2.144009796090085E-16</v>
      </c>
      <c r="K47" s="67">
        <f>(COS(RADIANS(B52))*$K$39/2)+Tire_Rolling_Radius+$C$3</f>
        <v>15.25</v>
      </c>
      <c r="L47" s="66">
        <f>L42</f>
        <v>0</v>
      </c>
      <c r="M47" s="187">
        <f>M42</f>
        <v>6</v>
      </c>
      <c r="N47" s="67">
        <f>(M47+$M$38)</f>
        <v>86</v>
      </c>
      <c r="P47" s="172"/>
      <c r="Q47" s="172"/>
      <c r="R47" s="172"/>
      <c r="S47" s="172"/>
      <c r="T47" s="172"/>
    </row>
    <row r="48" spans="2:20" ht="12.75">
      <c r="B48" s="193">
        <v>120</v>
      </c>
      <c r="C48" s="66">
        <f t="shared" si="0"/>
        <v>85.84455543377233</v>
      </c>
      <c r="D48" s="67">
        <f t="shared" si="1"/>
        <v>25.749999999999996</v>
      </c>
      <c r="E48" s="66">
        <f t="shared" si="2"/>
        <v>15.155444566227677</v>
      </c>
      <c r="F48" s="67">
        <f t="shared" si="3"/>
        <v>25.749999999999996</v>
      </c>
      <c r="G48" s="187"/>
      <c r="H48" s="66">
        <f>P39</f>
        <v>0</v>
      </c>
      <c r="I48" s="67">
        <f>C3</f>
        <v>0</v>
      </c>
      <c r="J48" s="66">
        <f>SIN(RADIANS(B54))*$K$39/2+P39</f>
        <v>-0.8750000000000002</v>
      </c>
      <c r="K48" s="67">
        <f>(COS(RADIANS(B54))*$K$39/2)+Tire_Rolling_Radius+$C$3</f>
        <v>15.484455543377232</v>
      </c>
      <c r="L48" s="66">
        <f>IF(I14="Parallel",$K$38,I14)</f>
        <v>-16</v>
      </c>
      <c r="M48" s="187">
        <f>IF(L48=K38,M47,J14)</f>
        <v>0</v>
      </c>
      <c r="N48" s="67">
        <f>(M48+$M$38)</f>
        <v>80</v>
      </c>
      <c r="P48" s="172"/>
      <c r="Q48" s="172"/>
      <c r="R48" s="172"/>
      <c r="S48" s="172"/>
      <c r="T48" s="172"/>
    </row>
    <row r="49" spans="2:20" ht="12.75">
      <c r="B49" s="193">
        <v>135</v>
      </c>
      <c r="C49" s="66">
        <f t="shared" si="0"/>
        <v>88.62563132923542</v>
      </c>
      <c r="D49" s="67">
        <f t="shared" si="1"/>
        <v>29.374368670764582</v>
      </c>
      <c r="E49" s="66">
        <f t="shared" si="2"/>
        <v>12.374368670764582</v>
      </c>
      <c r="F49" s="67">
        <f t="shared" si="3"/>
        <v>29.374368670764582</v>
      </c>
      <c r="G49" s="187"/>
      <c r="H49" s="66">
        <f>IF(ABS(I34)&gt;K38,$K$38,I34)</f>
        <v>47.670454545454554</v>
      </c>
      <c r="I49" s="67">
        <f>IF(H49=K38,H49*I28+K7,I35)</f>
        <v>17.849431818181817</v>
      </c>
      <c r="J49" s="66">
        <f>SIN(RADIANS(B56))*$K$39/2+P39</f>
        <v>-1.5155444566227672</v>
      </c>
      <c r="K49" s="67">
        <f>(COS(RADIANS(B56))*$K$39/2)+Tire_Rolling_Radius+$C$3</f>
        <v>16.125</v>
      </c>
      <c r="L49" s="66">
        <f>IF(I14="Parallel",$K$38,I14)</f>
        <v>-16</v>
      </c>
      <c r="M49" s="187">
        <f>IF(L49=K38,M50,J14)</f>
        <v>0</v>
      </c>
      <c r="N49" s="67">
        <f>(M49+$M$38)</f>
        <v>80</v>
      </c>
      <c r="P49" s="172"/>
      <c r="Q49" s="172"/>
      <c r="R49" s="172"/>
      <c r="S49" s="172"/>
      <c r="T49" s="172"/>
    </row>
    <row r="50" spans="2:20" ht="12.75">
      <c r="B50" s="193">
        <v>150</v>
      </c>
      <c r="C50" s="66">
        <f t="shared" si="0"/>
        <v>92.25</v>
      </c>
      <c r="D50" s="67">
        <f t="shared" si="1"/>
        <v>32.15544456622768</v>
      </c>
      <c r="E50" s="66">
        <f t="shared" si="2"/>
        <v>8.749999999999998</v>
      </c>
      <c r="F50" s="67">
        <f t="shared" si="3"/>
        <v>32.15544456622768</v>
      </c>
      <c r="G50" s="187"/>
      <c r="H50" s="64">
        <f>Wheelbase</f>
        <v>101</v>
      </c>
      <c r="I50" s="65">
        <f>FORECAST(H50,I48:I49,H48:H49)</f>
        <v>37.81781883194278</v>
      </c>
      <c r="J50" s="66">
        <f>SIN(RADIANS(B58))*$K$39/2+P39</f>
        <v>-1.75</v>
      </c>
      <c r="K50" s="67">
        <f>(COS(RADIANS(B58))*$K$39/2)+Tire_Rolling_Radius+$C$3</f>
        <v>17</v>
      </c>
      <c r="L50" s="64">
        <f>L47</f>
        <v>0</v>
      </c>
      <c r="M50" s="189">
        <f>-M47</f>
        <v>-6</v>
      </c>
      <c r="N50" s="65">
        <f>(M50+$M$38)</f>
        <v>74</v>
      </c>
      <c r="P50" s="172"/>
      <c r="Q50" s="172"/>
      <c r="R50" s="172"/>
      <c r="S50" s="172"/>
      <c r="T50" s="172"/>
    </row>
    <row r="51" spans="2:20" ht="12.75">
      <c r="B51" s="193">
        <v>165</v>
      </c>
      <c r="C51" s="66">
        <f t="shared" si="0"/>
        <v>96.47066671070588</v>
      </c>
      <c r="D51" s="67">
        <f t="shared" si="1"/>
        <v>33.9037019600587</v>
      </c>
      <c r="E51" s="66">
        <f t="shared" si="2"/>
        <v>4.529333289294118</v>
      </c>
      <c r="F51" s="67">
        <f t="shared" si="3"/>
        <v>33.9037019600587</v>
      </c>
      <c r="G51" s="187"/>
      <c r="H51" s="180" t="s">
        <v>127</v>
      </c>
      <c r="I51" s="181"/>
      <c r="J51" s="66">
        <f>SIN(RADIANS(B60))*$K$39/2+P39</f>
        <v>-1.5155444566227676</v>
      </c>
      <c r="K51" s="67">
        <f>(COS(RADIANS(B60))*$K$39/2)+Tire_Rolling_Radius+$C$3</f>
        <v>17.875</v>
      </c>
      <c r="L51" s="180" t="s">
        <v>6</v>
      </c>
      <c r="M51" s="188"/>
      <c r="N51" s="181"/>
      <c r="P51" s="172"/>
      <c r="Q51" s="172"/>
      <c r="R51" s="172"/>
      <c r="S51" s="172"/>
      <c r="T51" s="172"/>
    </row>
    <row r="52" spans="2:23" ht="12.75">
      <c r="B52" s="193">
        <v>180</v>
      </c>
      <c r="C52" s="66">
        <f t="shared" si="0"/>
        <v>101</v>
      </c>
      <c r="D52" s="67">
        <f t="shared" si="1"/>
        <v>34.5</v>
      </c>
      <c r="E52" s="66">
        <f t="shared" si="2"/>
        <v>2.144009796090085E-15</v>
      </c>
      <c r="F52" s="67">
        <f t="shared" si="3"/>
        <v>34.5</v>
      </c>
      <c r="G52" s="187"/>
      <c r="H52" s="66" t="s">
        <v>1</v>
      </c>
      <c r="I52" s="67" t="s">
        <v>5</v>
      </c>
      <c r="J52" s="66">
        <f>SIN(RADIANS(B62))*$K$39/2+P39</f>
        <v>-0.8750000000000008</v>
      </c>
      <c r="K52" s="67">
        <f>(COS(RADIANS(B62))*$K$39/2)+Tire_Rolling_Radius+$C$3</f>
        <v>18.515544456622766</v>
      </c>
      <c r="L52" s="66" t="s">
        <v>1</v>
      </c>
      <c r="M52" s="187" t="s">
        <v>0</v>
      </c>
      <c r="N52" s="67"/>
      <c r="Q52" s="172"/>
      <c r="R52" s="172"/>
      <c r="S52" s="172"/>
      <c r="T52" s="172"/>
      <c r="U52" s="172"/>
      <c r="V52" s="172"/>
      <c r="W52" s="172"/>
    </row>
    <row r="53" spans="2:23" ht="12.75">
      <c r="B53" s="193">
        <v>195</v>
      </c>
      <c r="C53" s="66">
        <f t="shared" si="0"/>
        <v>105.52933328929412</v>
      </c>
      <c r="D53" s="67">
        <f t="shared" si="1"/>
        <v>33.9037019600587</v>
      </c>
      <c r="E53" s="66">
        <f t="shared" si="2"/>
        <v>-4.529333289294114</v>
      </c>
      <c r="F53" s="67">
        <f t="shared" si="3"/>
        <v>33.9037019600587</v>
      </c>
      <c r="G53" s="187"/>
      <c r="H53" s="66">
        <v>-20</v>
      </c>
      <c r="I53" s="67">
        <f>VectorCalculations!C4</f>
        <v>37.83870967741935</v>
      </c>
      <c r="J53" s="64">
        <f>SIN(RADIANS(B64))*$K$39/2+P39</f>
        <v>-4.28801959218017E-16</v>
      </c>
      <c r="K53" s="65">
        <f>(COS(RADIANS(B64))*$K$39/2)+Tire_Rolling_Radius+$C$3</f>
        <v>18.75</v>
      </c>
      <c r="L53" s="66">
        <f>I20</f>
        <v>29.5</v>
      </c>
      <c r="M53" s="187">
        <f>J20</f>
        <v>14</v>
      </c>
      <c r="N53" s="67">
        <f>(M53+$M$38)</f>
        <v>94</v>
      </c>
      <c r="Q53" s="172"/>
      <c r="R53" s="172"/>
      <c r="S53" s="172"/>
      <c r="T53" s="172"/>
      <c r="U53" s="172"/>
      <c r="V53" s="172"/>
      <c r="W53" s="172"/>
    </row>
    <row r="54" spans="2:23" ht="12.75">
      <c r="B54" s="193">
        <v>210</v>
      </c>
      <c r="C54" s="66">
        <f t="shared" si="0"/>
        <v>109.75</v>
      </c>
      <c r="D54" s="67">
        <f t="shared" si="1"/>
        <v>32.15544456622767</v>
      </c>
      <c r="E54" s="66">
        <f t="shared" si="2"/>
        <v>-8.750000000000002</v>
      </c>
      <c r="F54" s="67">
        <f t="shared" si="3"/>
        <v>32.15544456622767</v>
      </c>
      <c r="G54" s="187"/>
      <c r="H54" s="64">
        <v>120</v>
      </c>
      <c r="I54" s="65">
        <f>VectorCalculations!C4</f>
        <v>37.83870967741935</v>
      </c>
      <c r="J54" s="172"/>
      <c r="K54" s="172"/>
      <c r="L54" s="66">
        <f>I21</f>
        <v>3.5</v>
      </c>
      <c r="M54" s="187">
        <f>J21</f>
        <v>19</v>
      </c>
      <c r="N54" s="67">
        <f>(M54+$M$38)</f>
        <v>99</v>
      </c>
      <c r="Q54" s="172"/>
      <c r="R54" s="172"/>
      <c r="S54" s="172"/>
      <c r="T54" s="172"/>
      <c r="U54" s="172"/>
      <c r="V54" s="172"/>
      <c r="W54" s="172"/>
    </row>
    <row r="55" spans="2:23" ht="12.75">
      <c r="B55" s="193">
        <v>225</v>
      </c>
      <c r="C55" s="66">
        <f t="shared" si="0"/>
        <v>113.37436867076458</v>
      </c>
      <c r="D55" s="67">
        <f t="shared" si="1"/>
        <v>29.374368670764582</v>
      </c>
      <c r="E55" s="66">
        <f t="shared" si="2"/>
        <v>-12.37436867076458</v>
      </c>
      <c r="F55" s="67">
        <f t="shared" si="3"/>
        <v>29.374368670764582</v>
      </c>
      <c r="G55" s="187"/>
      <c r="H55" s="180" t="s">
        <v>76</v>
      </c>
      <c r="I55" s="181"/>
      <c r="J55" s="172"/>
      <c r="K55" s="172"/>
      <c r="L55" s="66">
        <f>(L53)</f>
        <v>29.5</v>
      </c>
      <c r="M55" s="187">
        <f>(-M53)</f>
        <v>-14</v>
      </c>
      <c r="N55" s="67">
        <f>(M55+$M$38)</f>
        <v>66</v>
      </c>
      <c r="Q55" s="172"/>
      <c r="R55" s="172"/>
      <c r="S55" s="172"/>
      <c r="T55" s="172"/>
      <c r="U55" s="172"/>
      <c r="V55" s="172"/>
      <c r="W55" s="172"/>
    </row>
    <row r="56" spans="2:23" ht="12.75">
      <c r="B56" s="193">
        <v>240</v>
      </c>
      <c r="C56" s="66">
        <f t="shared" si="0"/>
        <v>116.15544456622767</v>
      </c>
      <c r="D56" s="67">
        <f t="shared" si="1"/>
        <v>25.750000000000007</v>
      </c>
      <c r="E56" s="66">
        <f t="shared" si="2"/>
        <v>-15.155444566227672</v>
      </c>
      <c r="F56" s="67">
        <f t="shared" si="3"/>
        <v>25.750000000000007</v>
      </c>
      <c r="G56" s="187"/>
      <c r="H56" s="66" t="s">
        <v>1</v>
      </c>
      <c r="I56" s="67" t="s">
        <v>5</v>
      </c>
      <c r="J56" s="172"/>
      <c r="K56" s="172"/>
      <c r="L56" s="64">
        <f>L54</f>
        <v>3.5</v>
      </c>
      <c r="M56" s="189">
        <f>(-M54)</f>
        <v>-19</v>
      </c>
      <c r="N56" s="65">
        <f>(M56+$M$38)</f>
        <v>61</v>
      </c>
      <c r="Q56" s="172"/>
      <c r="R56" s="172"/>
      <c r="S56" s="172"/>
      <c r="T56" s="172"/>
      <c r="U56" s="172"/>
      <c r="V56" s="172"/>
      <c r="W56" s="172"/>
    </row>
    <row r="57" spans="2:23" ht="12.75">
      <c r="B57" s="193">
        <v>255</v>
      </c>
      <c r="C57" s="66">
        <f t="shared" si="0"/>
        <v>117.9037019600587</v>
      </c>
      <c r="D57" s="67">
        <f t="shared" si="1"/>
        <v>21.52933328929411</v>
      </c>
      <c r="E57" s="66">
        <f t="shared" si="2"/>
        <v>-16.903701960058694</v>
      </c>
      <c r="F57" s="67">
        <f t="shared" si="3"/>
        <v>21.52933328929411</v>
      </c>
      <c r="G57" s="187"/>
      <c r="H57" s="66">
        <f>P39</f>
        <v>0</v>
      </c>
      <c r="I57" s="67">
        <f>C3</f>
        <v>0</v>
      </c>
      <c r="J57" s="172"/>
      <c r="K57" s="172"/>
      <c r="L57" s="180" t="s">
        <v>73</v>
      </c>
      <c r="M57" s="188"/>
      <c r="N57" s="181"/>
      <c r="Q57" s="172"/>
      <c r="R57" s="172"/>
      <c r="S57" s="172"/>
      <c r="T57" s="172"/>
      <c r="U57" s="172"/>
      <c r="V57" s="172"/>
      <c r="W57" s="172"/>
    </row>
    <row r="58" spans="2:23" ht="12.75">
      <c r="B58" s="193">
        <v>270</v>
      </c>
      <c r="C58" s="66">
        <f t="shared" si="0"/>
        <v>118.5</v>
      </c>
      <c r="D58" s="67">
        <f t="shared" si="1"/>
        <v>17.000000000000004</v>
      </c>
      <c r="E58" s="66">
        <f t="shared" si="2"/>
        <v>-17.5</v>
      </c>
      <c r="F58" s="67">
        <f t="shared" si="3"/>
        <v>17.000000000000004</v>
      </c>
      <c r="G58" s="187"/>
      <c r="H58" s="64">
        <f>Wheelbase</f>
        <v>101</v>
      </c>
      <c r="I58" s="65">
        <f>VectorCalculations!C4</f>
        <v>37.83870967741935</v>
      </c>
      <c r="J58" s="172"/>
      <c r="K58" s="172"/>
      <c r="L58" s="66" t="s">
        <v>1</v>
      </c>
      <c r="M58" s="187" t="s">
        <v>0</v>
      </c>
      <c r="N58" s="67"/>
      <c r="Q58" s="172"/>
      <c r="R58" s="172"/>
      <c r="S58" s="172"/>
      <c r="T58" s="172"/>
      <c r="U58" s="172"/>
      <c r="V58" s="172"/>
      <c r="W58" s="172"/>
    </row>
    <row r="59" spans="2:23" ht="12.75">
      <c r="B59" s="193">
        <v>285</v>
      </c>
      <c r="C59" s="66">
        <f t="shared" si="0"/>
        <v>117.9037019600587</v>
      </c>
      <c r="D59" s="67">
        <f t="shared" si="1"/>
        <v>12.470666710705895</v>
      </c>
      <c r="E59" s="66">
        <f t="shared" si="2"/>
        <v>-16.903701960058697</v>
      </c>
      <c r="F59" s="67">
        <f t="shared" si="3"/>
        <v>12.470666710705895</v>
      </c>
      <c r="G59" s="187"/>
      <c r="H59" s="180" t="s">
        <v>79</v>
      </c>
      <c r="I59" s="181"/>
      <c r="J59" s="172"/>
      <c r="K59" s="172"/>
      <c r="L59" s="66">
        <f>L53</f>
        <v>29.5</v>
      </c>
      <c r="M59" s="187">
        <f>M53</f>
        <v>14</v>
      </c>
      <c r="N59" s="67">
        <f>(M59+$M$38)</f>
        <v>94</v>
      </c>
      <c r="Q59" s="172"/>
      <c r="R59" s="172"/>
      <c r="S59" s="172"/>
      <c r="T59" s="172"/>
      <c r="U59" s="172"/>
      <c r="V59" s="172"/>
      <c r="W59" s="172"/>
    </row>
    <row r="60" spans="2:23" ht="12.75">
      <c r="B60" s="193">
        <v>300</v>
      </c>
      <c r="C60" s="66">
        <f t="shared" si="0"/>
        <v>116.15544456622767</v>
      </c>
      <c r="D60" s="67">
        <f t="shared" si="1"/>
        <v>8.249999999999998</v>
      </c>
      <c r="E60" s="66">
        <f t="shared" si="2"/>
        <v>-15.155444566227676</v>
      </c>
      <c r="F60" s="67">
        <f t="shared" si="3"/>
        <v>8.249999999999998</v>
      </c>
      <c r="G60" s="214"/>
      <c r="H60" s="187" t="s">
        <v>1</v>
      </c>
      <c r="I60" s="67" t="s">
        <v>5</v>
      </c>
      <c r="J60" s="172"/>
      <c r="K60" s="172"/>
      <c r="L60" s="66">
        <f>IF(VectorCalculations!C25="Parallel",$K$38,VectorCalculations!C25)</f>
        <v>102.3</v>
      </c>
      <c r="M60" s="187">
        <f>IF(L60=K38,M59,VectorCalculations!D13)</f>
        <v>0</v>
      </c>
      <c r="N60" s="67">
        <f>(M60+$M$38)</f>
        <v>80</v>
      </c>
      <c r="Q60" s="172"/>
      <c r="R60" s="172"/>
      <c r="S60" s="172"/>
      <c r="T60" s="172"/>
      <c r="U60" s="172"/>
      <c r="V60" s="172"/>
      <c r="W60" s="172"/>
    </row>
    <row r="61" spans="2:23" ht="12.75">
      <c r="B61" s="193">
        <v>315</v>
      </c>
      <c r="C61" s="66">
        <f t="shared" si="0"/>
        <v>113.37436867076458</v>
      </c>
      <c r="D61" s="67">
        <f t="shared" si="1"/>
        <v>4.625631329235421</v>
      </c>
      <c r="E61" s="66">
        <f t="shared" si="2"/>
        <v>-12.374368670764584</v>
      </c>
      <c r="F61" s="67">
        <f t="shared" si="3"/>
        <v>4.625631329235421</v>
      </c>
      <c r="G61" s="214"/>
      <c r="H61" s="187">
        <f>IF(I14="Parallel",$K$38,I14)</f>
        <v>-16</v>
      </c>
      <c r="I61" s="67">
        <f>IF(VectorCalculations!E23="N/A",VectorCalculations!$C$32*H61+VectorCalculations!$C$33,IF(VectorCalculations!E13="N/A",('Travel (2)'!H61*VectorCalculations!C32)+VectorCalculations!C33,VectorCalculations!E13))</f>
        <v>27.4</v>
      </c>
      <c r="J61" s="172"/>
      <c r="K61" s="172"/>
      <c r="L61" s="66">
        <f>IF(VectorCalculations!C25="Parallel",$K$38,VectorCalculations!C25)</f>
        <v>102.3</v>
      </c>
      <c r="M61" s="187">
        <f>IF(L61=K38,M62,VectorCalculations!D13)</f>
        <v>0</v>
      </c>
      <c r="N61" s="67">
        <f>(M61+$M$38)</f>
        <v>80</v>
      </c>
      <c r="Q61" s="172"/>
      <c r="R61" s="172"/>
      <c r="S61" s="172"/>
      <c r="T61" s="172"/>
      <c r="U61" s="172"/>
      <c r="V61" s="172"/>
      <c r="W61" s="172"/>
    </row>
    <row r="62" spans="2:23" ht="12.75">
      <c r="B62" s="193">
        <v>330</v>
      </c>
      <c r="C62" s="66">
        <f t="shared" si="0"/>
        <v>109.75</v>
      </c>
      <c r="D62" s="67">
        <f t="shared" si="1"/>
        <v>1.844555433772328</v>
      </c>
      <c r="E62" s="66">
        <f t="shared" si="2"/>
        <v>-8.750000000000007</v>
      </c>
      <c r="F62" s="67">
        <f t="shared" si="3"/>
        <v>1.844555433772328</v>
      </c>
      <c r="G62" s="187"/>
      <c r="H62" s="66">
        <v>0</v>
      </c>
      <c r="I62" s="67">
        <f>I32</f>
        <v>26.250380388841926</v>
      </c>
      <c r="J62" s="172"/>
      <c r="K62" s="172"/>
      <c r="L62" s="64">
        <f>L59</f>
        <v>29.5</v>
      </c>
      <c r="M62" s="189">
        <f>-M59</f>
        <v>-14</v>
      </c>
      <c r="N62" s="65">
        <f>(M62+$M$38)</f>
        <v>66</v>
      </c>
      <c r="Q62" s="172"/>
      <c r="R62" s="172"/>
      <c r="S62" s="172"/>
      <c r="T62" s="172"/>
      <c r="U62" s="172"/>
      <c r="V62" s="172"/>
      <c r="W62" s="172"/>
    </row>
    <row r="63" spans="2:23" ht="12.75">
      <c r="B63" s="193">
        <v>345</v>
      </c>
      <c r="C63" s="66">
        <f t="shared" si="0"/>
        <v>105.52933328929412</v>
      </c>
      <c r="D63" s="67">
        <f t="shared" si="1"/>
        <v>0.09629803994130626</v>
      </c>
      <c r="E63" s="66">
        <f t="shared" si="2"/>
        <v>-4.529333289294112</v>
      </c>
      <c r="F63" s="67">
        <f t="shared" si="3"/>
        <v>0.09629803994130626</v>
      </c>
      <c r="G63" s="187"/>
      <c r="H63" s="64">
        <f>IF(I26="Parallel",$K$38,I26)</f>
        <v>102.3</v>
      </c>
      <c r="I63" s="65">
        <f>IF(K26="N/A",I41,K26)</f>
        <v>18.9</v>
      </c>
      <c r="J63" s="172"/>
      <c r="K63" s="172"/>
      <c r="L63" s="172"/>
      <c r="M63" s="172"/>
      <c r="N63" s="172"/>
      <c r="O63" s="172"/>
      <c r="Q63" s="172"/>
      <c r="R63" s="172"/>
      <c r="S63" s="172"/>
      <c r="T63" s="172"/>
      <c r="U63" s="172"/>
      <c r="V63" s="172"/>
      <c r="W63" s="172"/>
    </row>
    <row r="64" spans="2:23" ht="12.75">
      <c r="B64" s="194">
        <v>360</v>
      </c>
      <c r="C64" s="64">
        <f t="shared" si="0"/>
        <v>101</v>
      </c>
      <c r="D64" s="65">
        <f t="shared" si="1"/>
        <v>0</v>
      </c>
      <c r="E64" s="66">
        <f t="shared" si="2"/>
        <v>-4.28801959218017E-15</v>
      </c>
      <c r="F64" s="67">
        <f t="shared" si="3"/>
        <v>0</v>
      </c>
      <c r="G64" s="187"/>
      <c r="H64" s="172"/>
      <c r="I64" s="172"/>
      <c r="J64" s="172"/>
      <c r="K64" s="172"/>
      <c r="L64" s="172"/>
      <c r="M64" s="172"/>
      <c r="N64" s="172"/>
      <c r="O64" s="172"/>
      <c r="Q64" s="172"/>
      <c r="R64" s="172"/>
      <c r="S64" s="172"/>
      <c r="T64" s="172"/>
      <c r="U64" s="172"/>
      <c r="V64" s="172"/>
      <c r="W64" s="172"/>
    </row>
    <row r="65" spans="2:23" ht="12.75">
      <c r="B65" s="10"/>
      <c r="Q65" s="172"/>
      <c r="R65" s="172"/>
      <c r="S65" s="172"/>
      <c r="T65" s="172"/>
      <c r="U65" s="172"/>
      <c r="V65" s="172"/>
      <c r="W65" s="172"/>
    </row>
    <row r="66" spans="2:23" ht="12.75">
      <c r="B66" s="10"/>
      <c r="Q66" s="172"/>
      <c r="R66" s="172"/>
      <c r="S66" s="172"/>
      <c r="T66" s="172"/>
      <c r="U66" s="172"/>
      <c r="V66" s="172"/>
      <c r="W66" s="172"/>
    </row>
    <row r="67" spans="17:23" ht="12.75">
      <c r="Q67" s="172"/>
      <c r="R67" s="172"/>
      <c r="S67" s="172"/>
      <c r="T67" s="172"/>
      <c r="U67" s="172"/>
      <c r="V67" s="172"/>
      <c r="W67" s="172"/>
    </row>
    <row r="68" spans="3:23" ht="12.75">
      <c r="C68" s="10" t="s">
        <v>150</v>
      </c>
      <c r="D68" s="10" t="s">
        <v>151</v>
      </c>
      <c r="Q68" s="172"/>
      <c r="R68" s="172"/>
      <c r="S68" s="172"/>
      <c r="T68" s="172"/>
      <c r="U68" s="172"/>
      <c r="V68" s="172"/>
      <c r="W68" s="172"/>
    </row>
    <row r="69" spans="2:23" ht="12.75">
      <c r="B69" s="9" t="s">
        <v>146</v>
      </c>
      <c r="C69" s="216">
        <f>C21</f>
        <v>3.5</v>
      </c>
      <c r="D69" s="172">
        <f>E21</f>
        <v>17</v>
      </c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</row>
    <row r="70" spans="2:23" ht="12.75">
      <c r="B70" s="9" t="s">
        <v>147</v>
      </c>
      <c r="C70" s="195">
        <f>C20</f>
        <v>29.5</v>
      </c>
      <c r="D70" s="172">
        <f>E20</f>
        <v>17.5</v>
      </c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</row>
    <row r="71" spans="2:23" ht="12.75">
      <c r="B71" s="9" t="s">
        <v>148</v>
      </c>
      <c r="C71" s="195">
        <f>C7</f>
        <v>0</v>
      </c>
      <c r="D71" s="172">
        <f>E7</f>
        <v>25</v>
      </c>
      <c r="E71" s="172"/>
      <c r="F71" s="172"/>
      <c r="G71" s="172"/>
      <c r="H71" s="172" t="s">
        <v>161</v>
      </c>
      <c r="I71" s="172">
        <f>((C81-C84)^2+(D81-D84)^2)^0.5</f>
        <v>17.240939649566666</v>
      </c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</row>
    <row r="72" spans="2:23" ht="12.75">
      <c r="B72" s="9" t="s">
        <v>149</v>
      </c>
      <c r="C72" s="195">
        <f>C6</f>
        <v>20</v>
      </c>
      <c r="D72" s="172">
        <f>E6</f>
        <v>22</v>
      </c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</row>
    <row r="73" spans="3:23" ht="12.75">
      <c r="C73" s="195">
        <v>-20</v>
      </c>
      <c r="D73" s="172">
        <v>90.67</v>
      </c>
      <c r="E73" s="172"/>
      <c r="F73" s="172"/>
      <c r="G73" s="172"/>
      <c r="H73" s="172" t="s">
        <v>162</v>
      </c>
      <c r="I73" s="172">
        <f>ACOS((C74^2+I71^2-C77^2)/(2*C74*I71))*180/PI()</f>
        <v>15.756692652531894</v>
      </c>
      <c r="J73" s="172"/>
      <c r="K73" s="172"/>
      <c r="L73" s="172" t="s">
        <v>176</v>
      </c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</row>
    <row r="74" spans="2:23" ht="12.75">
      <c r="B74" s="9" t="s">
        <v>152</v>
      </c>
      <c r="C74" s="195">
        <f>((C70-C69)^2+(D70-D69)^2)^0.5</f>
        <v>26.004807247891687</v>
      </c>
      <c r="D74" s="172"/>
      <c r="E74" s="172"/>
      <c r="F74" s="172"/>
      <c r="G74" s="172"/>
      <c r="H74" s="172" t="s">
        <v>163</v>
      </c>
      <c r="I74" s="172">
        <f>ACOS((C76^2+I71^2-C75^2)/(2*C76*I71))*180/PI()</f>
        <v>96.77097896291855</v>
      </c>
      <c r="J74" s="172"/>
      <c r="K74" s="172"/>
      <c r="L74" s="172">
        <f>C81</f>
        <v>3.5</v>
      </c>
      <c r="M74" s="172">
        <f>D81</f>
        <v>17</v>
      </c>
      <c r="N74" s="172"/>
      <c r="O74" s="172"/>
      <c r="P74" s="172"/>
      <c r="Q74" s="172"/>
      <c r="R74" s="172"/>
      <c r="S74" s="172"/>
      <c r="T74" s="172"/>
      <c r="U74" s="172"/>
      <c r="V74" s="172"/>
      <c r="W74" s="172"/>
    </row>
    <row r="75" spans="2:23" ht="12.75">
      <c r="B75" s="9" t="s">
        <v>153</v>
      </c>
      <c r="C75" s="195">
        <f>((C72-C71)^2+(D72-D71)^2)^0.5</f>
        <v>20.223748416156685</v>
      </c>
      <c r="D75" s="172"/>
      <c r="E75" s="172"/>
      <c r="F75" s="172"/>
      <c r="G75" s="172"/>
      <c r="H75" s="172" t="s">
        <v>164</v>
      </c>
      <c r="I75" s="172">
        <f>I73+I74</f>
        <v>112.52767161545044</v>
      </c>
      <c r="J75" s="172"/>
      <c r="K75" s="172"/>
      <c r="L75" s="172">
        <f>C83</f>
        <v>0</v>
      </c>
      <c r="M75" s="172">
        <f>D83</f>
        <v>25</v>
      </c>
      <c r="N75" s="172"/>
      <c r="O75" s="172"/>
      <c r="P75" s="172"/>
      <c r="Q75" s="172"/>
      <c r="R75" s="172"/>
      <c r="S75" s="172"/>
      <c r="T75" s="172"/>
      <c r="U75" s="172"/>
      <c r="V75" s="172"/>
      <c r="W75" s="172"/>
    </row>
    <row r="76" spans="2:23" ht="12.75">
      <c r="B76" s="9" t="s">
        <v>154</v>
      </c>
      <c r="C76" s="195">
        <f>((C71-C69)^2+(D71-D69)^2)^0.5</f>
        <v>8.73212459828649</v>
      </c>
      <c r="D76" s="172"/>
      <c r="E76" s="172"/>
      <c r="F76" s="172"/>
      <c r="G76" s="172"/>
      <c r="H76" s="172"/>
      <c r="I76" s="172"/>
      <c r="J76" s="172"/>
      <c r="K76" s="172"/>
      <c r="L76" s="172">
        <v>-20</v>
      </c>
      <c r="M76" s="172">
        <f>FORECAST(L76,M74:M75,L74:L75)</f>
        <v>70.71428571428571</v>
      </c>
      <c r="N76" s="172"/>
      <c r="O76" s="172"/>
      <c r="P76" s="172"/>
      <c r="Q76" s="172"/>
      <c r="R76" s="172"/>
      <c r="S76" s="172"/>
      <c r="T76" s="172"/>
      <c r="U76" s="172"/>
      <c r="V76" s="172"/>
      <c r="W76" s="172"/>
    </row>
    <row r="77" spans="2:23" ht="12.75">
      <c r="B77" s="9" t="s">
        <v>155</v>
      </c>
      <c r="C77" s="195">
        <f>((C72-C70)^2+(D72-D70)^2)^0.5</f>
        <v>10.51189802081432</v>
      </c>
      <c r="D77" s="172"/>
      <c r="E77" s="172"/>
      <c r="F77" s="172"/>
      <c r="G77" s="172"/>
      <c r="H77" s="172" t="s">
        <v>165</v>
      </c>
      <c r="I77" s="172">
        <f>C82-C81</f>
        <v>26</v>
      </c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</row>
    <row r="78" spans="3:23" ht="12.75">
      <c r="C78" s="195"/>
      <c r="D78" s="172"/>
      <c r="E78" s="172"/>
      <c r="F78" s="172"/>
      <c r="G78" s="172"/>
      <c r="H78" s="172" t="s">
        <v>166</v>
      </c>
      <c r="I78" s="172">
        <f>D82-D81</f>
        <v>0.5</v>
      </c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</row>
    <row r="79" spans="3:23" ht="12.75">
      <c r="C79" s="195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</row>
    <row r="80" spans="2:23" ht="12.75">
      <c r="B80" s="9" t="s">
        <v>156</v>
      </c>
      <c r="C80" s="195"/>
      <c r="D80" s="172"/>
      <c r="E80" s="172"/>
      <c r="F80" s="172"/>
      <c r="G80" s="172"/>
      <c r="H80" s="172" t="s">
        <v>167</v>
      </c>
      <c r="I80" s="172">
        <f>I77</f>
        <v>26</v>
      </c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</row>
    <row r="81" spans="2:23" ht="12.75">
      <c r="B81" s="9" t="s">
        <v>157</v>
      </c>
      <c r="C81" s="216">
        <f>C70-((C74^2-(D81-D70)^2)^0.5)</f>
        <v>3.5</v>
      </c>
      <c r="D81" s="172">
        <f>D69+C3</f>
        <v>17</v>
      </c>
      <c r="E81" s="172"/>
      <c r="F81" s="172"/>
      <c r="G81" s="172"/>
      <c r="H81" s="172" t="s">
        <v>168</v>
      </c>
      <c r="I81" s="172">
        <v>0</v>
      </c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</row>
    <row r="82" spans="2:23" ht="12.75">
      <c r="B82" s="9" t="s">
        <v>158</v>
      </c>
      <c r="C82" s="195">
        <f>C70</f>
        <v>29.5</v>
      </c>
      <c r="D82" s="172">
        <f>D70</f>
        <v>17.5</v>
      </c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</row>
    <row r="83" spans="2:23" ht="12.75">
      <c r="B83" s="9" t="s">
        <v>159</v>
      </c>
      <c r="C83" s="172">
        <f>C81-(C76*COS(I85/(180/PI())))</f>
        <v>0</v>
      </c>
      <c r="D83" s="172">
        <f>D81+(C76*SIN(I85/(180/PI())))</f>
        <v>25</v>
      </c>
      <c r="E83" s="172"/>
      <c r="F83" s="172"/>
      <c r="G83" s="172"/>
      <c r="H83" s="172" t="s">
        <v>169</v>
      </c>
      <c r="I83" s="172">
        <f>ASIN((D70-D81)/C74)*180/PI()</f>
        <v>1.1017061152063745</v>
      </c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</row>
    <row r="84" spans="2:23" ht="12.75">
      <c r="B84" s="9" t="s">
        <v>160</v>
      </c>
      <c r="C84" s="195">
        <f>C72</f>
        <v>20</v>
      </c>
      <c r="D84" s="172">
        <f>D72</f>
        <v>22</v>
      </c>
      <c r="E84" s="172"/>
      <c r="F84" s="172"/>
      <c r="G84" s="172"/>
      <c r="H84" s="172" t="s">
        <v>170</v>
      </c>
      <c r="I84" s="172">
        <f>I75+I83</f>
        <v>113.62937773065681</v>
      </c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</row>
    <row r="85" spans="3:23" ht="12.75">
      <c r="C85" s="195"/>
      <c r="D85" s="172"/>
      <c r="E85" s="172"/>
      <c r="F85" s="172"/>
      <c r="G85" s="172"/>
      <c r="H85" s="172" t="s">
        <v>171</v>
      </c>
      <c r="I85" s="172">
        <f>180-I84</f>
        <v>66.37062226934319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</row>
    <row r="86" spans="3:23" ht="12.75">
      <c r="C86" s="195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</row>
    <row r="87" spans="3:23" ht="12.75">
      <c r="C87" s="195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</row>
    <row r="88" spans="3:23" ht="12.75">
      <c r="C88" s="195"/>
      <c r="D88" s="172"/>
      <c r="E88" s="172"/>
      <c r="F88" s="172"/>
      <c r="G88" s="172"/>
      <c r="H88" s="172" t="s">
        <v>172</v>
      </c>
      <c r="I88" s="172">
        <f>ATAN((D71-D69)/(C69-C71))*180/PI()</f>
        <v>66.37062226934319</v>
      </c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</row>
    <row r="89" spans="3:23" ht="12.75">
      <c r="C89" s="195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</row>
    <row r="90" spans="3:23" ht="12.75">
      <c r="C90" s="195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</row>
    <row r="91" spans="3:23" ht="12.75">
      <c r="C91" s="195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</row>
    <row r="92" spans="3:23" ht="12.75">
      <c r="C92" s="195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</row>
    <row r="93" spans="3:23" ht="12.75">
      <c r="C93" s="195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</row>
    <row r="94" spans="3:23" ht="12.75">
      <c r="C94" s="195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</row>
    <row r="95" spans="3:23" ht="12.75">
      <c r="C95" s="195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</row>
    <row r="96" spans="3:23" ht="12.75">
      <c r="C96" s="195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</row>
    <row r="97" spans="3:23" ht="12.75">
      <c r="C97" s="195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</row>
    <row r="98" spans="3:23" ht="12.75">
      <c r="C98" s="195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</row>
    <row r="99" spans="3:23" ht="12.75">
      <c r="C99" s="195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</row>
    <row r="100" spans="3:23" ht="12.75">
      <c r="C100" s="195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</row>
    <row r="101" spans="3:23" ht="12.75">
      <c r="C101" s="195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</row>
    <row r="102" spans="3:23" ht="12.75">
      <c r="C102" s="195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</row>
    <row r="103" spans="3:23" ht="12.75">
      <c r="C103" s="195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</row>
    <row r="104" spans="3:23" ht="12.75">
      <c r="C104" s="195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</row>
    <row r="105" spans="3:23" ht="12.75">
      <c r="C105" s="195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</row>
    <row r="106" spans="3:23" ht="12.75">
      <c r="C106" s="195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</row>
    <row r="107" spans="3:23" ht="12.75">
      <c r="C107" s="195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</row>
    <row r="108" spans="3:23" ht="12.75">
      <c r="C108" s="195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</row>
    <row r="109" spans="3:23" ht="12.75">
      <c r="C109" s="195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</row>
    <row r="110" spans="3:23" ht="12.75">
      <c r="C110" s="195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</row>
    <row r="111" spans="3:23" ht="12.75">
      <c r="C111" s="195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</row>
    <row r="112" spans="3:23" ht="12.75">
      <c r="C112" s="195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</row>
    <row r="113" spans="3:23" ht="12.75">
      <c r="C113" s="195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</row>
    <row r="114" spans="3:23" ht="12.75">
      <c r="C114" s="195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</row>
    <row r="115" spans="3:23" ht="12.75">
      <c r="C115" s="195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</row>
    <row r="116" spans="3:23" ht="12.75">
      <c r="C116" s="195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</row>
    <row r="117" spans="3:23" ht="12.75">
      <c r="C117" s="195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</row>
    <row r="118" spans="3:23" ht="12.75">
      <c r="C118" s="195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</row>
    <row r="119" spans="3:23" ht="12.75">
      <c r="C119" s="195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</row>
    <row r="120" spans="3:23" ht="12.75">
      <c r="C120" s="195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  <row r="121" spans="3:23" ht="12.75">
      <c r="C121" s="195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</row>
    <row r="122" spans="3:23" ht="12.75">
      <c r="C122" s="195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</row>
    <row r="123" spans="3:23" ht="12.75">
      <c r="C123" s="195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</row>
    <row r="124" spans="3:23" ht="12.75">
      <c r="C124" s="195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</row>
    <row r="125" spans="3:23" ht="12.75">
      <c r="C125" s="195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</row>
    <row r="126" spans="3:23" ht="12.75">
      <c r="C126" s="195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</row>
    <row r="127" spans="3:23" ht="12.75">
      <c r="C127" s="195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</row>
    <row r="128" spans="3:23" ht="12.75">
      <c r="C128" s="195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</row>
    <row r="129" spans="3:23" ht="12.75">
      <c r="C129" s="195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</row>
    <row r="130" spans="3:23" ht="12.75">
      <c r="C130" s="195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</row>
    <row r="131" spans="3:23" ht="12.75">
      <c r="C131" s="195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</row>
    <row r="132" spans="3:23" ht="12.75">
      <c r="C132" s="195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</row>
    <row r="133" spans="3:23" ht="12.75">
      <c r="C133" s="195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</row>
    <row r="134" spans="3:23" ht="12.75">
      <c r="C134" s="195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</row>
    <row r="135" spans="3:23" ht="12.75">
      <c r="C135" s="195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</row>
    <row r="136" spans="3:23" ht="12.75">
      <c r="C136" s="195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</row>
    <row r="137" spans="3:23" ht="12.75">
      <c r="C137" s="195"/>
      <c r="D137" s="172"/>
      <c r="E137" s="172"/>
      <c r="F137" s="172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</row>
    <row r="138" spans="3:23" ht="12.75">
      <c r="C138" s="195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</row>
    <row r="139" spans="3:23" ht="12.75">
      <c r="C139" s="195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</row>
    <row r="140" spans="3:23" ht="12.75">
      <c r="C140" s="195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</row>
    <row r="141" spans="3:23" ht="12.75">
      <c r="C141" s="195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</row>
    <row r="142" spans="3:23" ht="12.75">
      <c r="C142" s="195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</row>
    <row r="143" spans="3:23" ht="12.75">
      <c r="C143" s="195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</row>
    <row r="144" spans="3:23" ht="12.75">
      <c r="C144" s="195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</row>
  </sheetData>
  <sheetProtection/>
  <mergeCells count="9">
    <mergeCell ref="D33:F33"/>
    <mergeCell ref="B1:F1"/>
    <mergeCell ref="B4:F4"/>
    <mergeCell ref="B29:C29"/>
    <mergeCell ref="D31:F31"/>
    <mergeCell ref="J33:L33"/>
    <mergeCell ref="J31:L31"/>
    <mergeCell ref="H29:I29"/>
    <mergeCell ref="H4:L4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J51"/>
  <sheetViews>
    <sheetView showGridLines="0" zoomScalePageLayoutView="0" workbookViewId="0" topLeftCell="A1">
      <selection activeCell="D8" sqref="D8"/>
    </sheetView>
  </sheetViews>
  <sheetFormatPr defaultColWidth="15.140625" defaultRowHeight="12.75"/>
  <cols>
    <col min="1" max="1" width="1.421875" style="2" customWidth="1"/>
    <col min="2" max="2" width="19.28125" style="1" customWidth="1"/>
    <col min="3" max="3" width="20.00390625" style="1" customWidth="1"/>
    <col min="4" max="5" width="20.00390625" style="2" customWidth="1"/>
    <col min="6" max="6" width="19.28125" style="2" customWidth="1"/>
    <col min="7" max="7" width="20.00390625" style="1" customWidth="1"/>
    <col min="8" max="9" width="20.00390625" style="2" customWidth="1"/>
    <col min="10" max="16384" width="15.140625" style="2" customWidth="1"/>
  </cols>
  <sheetData>
    <row r="1" spans="2:10" ht="20.25">
      <c r="B1" s="55" t="str">
        <f>Main!B1</f>
        <v>4 Bar Linkage Calculator v3.0</v>
      </c>
      <c r="J1" s="24"/>
    </row>
    <row r="2" spans="2:10" ht="12.75">
      <c r="B2" s="9" t="s">
        <v>141</v>
      </c>
      <c r="C2" s="208">
        <v>6</v>
      </c>
      <c r="D2" s="2" t="s">
        <v>142</v>
      </c>
      <c r="J2" s="24"/>
    </row>
    <row r="3" spans="2:10" ht="15.75">
      <c r="B3" s="31" t="s">
        <v>34</v>
      </c>
      <c r="C3" s="28"/>
      <c r="D3" s="7"/>
      <c r="E3" s="7"/>
      <c r="F3" s="6"/>
      <c r="G3" s="25"/>
      <c r="H3" s="25"/>
      <c r="I3" s="25"/>
      <c r="J3" s="24"/>
    </row>
    <row r="4" spans="2:10" ht="15.75">
      <c r="B4" s="37" t="s">
        <v>4</v>
      </c>
      <c r="C4" s="47"/>
      <c r="D4" s="49"/>
      <c r="E4" s="38"/>
      <c r="F4" s="46" t="s">
        <v>6</v>
      </c>
      <c r="G4" s="166"/>
      <c r="H4" s="47"/>
      <c r="I4" s="48"/>
      <c r="J4" s="24"/>
    </row>
    <row r="5" spans="2:10" ht="12.75">
      <c r="B5" s="14" t="s">
        <v>63</v>
      </c>
      <c r="C5" s="4">
        <v>1.5</v>
      </c>
      <c r="D5" s="15" t="s">
        <v>10</v>
      </c>
      <c r="E5" s="39"/>
      <c r="F5" s="14" t="s">
        <v>63</v>
      </c>
      <c r="G5" s="4">
        <v>1.75</v>
      </c>
      <c r="H5" s="15" t="s">
        <v>10</v>
      </c>
      <c r="I5" s="39"/>
      <c r="J5" s="24"/>
    </row>
    <row r="6" spans="2:10" ht="12.75">
      <c r="B6" s="14" t="s">
        <v>64</v>
      </c>
      <c r="C6" s="4">
        <v>0.188</v>
      </c>
      <c r="D6" s="15" t="s">
        <v>10</v>
      </c>
      <c r="E6" s="39"/>
      <c r="F6" s="14" t="s">
        <v>64</v>
      </c>
      <c r="G6" s="4">
        <v>0.25</v>
      </c>
      <c r="H6" s="15" t="s">
        <v>10</v>
      </c>
      <c r="I6" s="39"/>
      <c r="J6" s="24"/>
    </row>
    <row r="7" spans="2:10" ht="12.75">
      <c r="B7" s="16" t="s">
        <v>35</v>
      </c>
      <c r="C7" s="4" t="s">
        <v>52</v>
      </c>
      <c r="D7" s="19"/>
      <c r="E7" s="40"/>
      <c r="F7" s="16" t="s">
        <v>35</v>
      </c>
      <c r="G7" s="4" t="s">
        <v>105</v>
      </c>
      <c r="H7" s="19"/>
      <c r="I7" s="40"/>
      <c r="J7" s="24"/>
    </row>
    <row r="8" spans="2:10" ht="12.75">
      <c r="B8" s="14" t="s">
        <v>21</v>
      </c>
      <c r="C8" s="3">
        <v>55000</v>
      </c>
      <c r="D8" s="11" t="s">
        <v>11</v>
      </c>
      <c r="E8" s="41"/>
      <c r="F8" s="14" t="s">
        <v>21</v>
      </c>
      <c r="G8" s="3">
        <v>55000</v>
      </c>
      <c r="H8" s="11" t="s">
        <v>11</v>
      </c>
      <c r="I8" s="41"/>
      <c r="J8" s="24"/>
    </row>
    <row r="9" spans="2:10" ht="12.75">
      <c r="B9" s="16" t="s">
        <v>94</v>
      </c>
      <c r="C9" s="51">
        <f>LOOKUP(C7,B28:C50)</f>
        <v>10500000</v>
      </c>
      <c r="D9" s="11" t="s">
        <v>96</v>
      </c>
      <c r="E9" s="41"/>
      <c r="F9" s="16" t="s">
        <v>94</v>
      </c>
      <c r="G9" s="167">
        <f>LOOKUP(G7,B28:C50)</f>
        <v>29700000</v>
      </c>
      <c r="H9" s="11" t="s">
        <v>96</v>
      </c>
      <c r="I9" s="41"/>
      <c r="J9" s="24"/>
    </row>
    <row r="10" spans="2:10" ht="12.75">
      <c r="B10" s="16" t="s">
        <v>95</v>
      </c>
      <c r="C10" s="52">
        <f>LOOKUP(C7,B28:B50,D28:D50)</f>
        <v>50000</v>
      </c>
      <c r="D10" s="11" t="s">
        <v>96</v>
      </c>
      <c r="E10" s="41"/>
      <c r="F10" s="16" t="s">
        <v>95</v>
      </c>
      <c r="G10" s="167">
        <f>LOOKUP(G7,B28:B50,D28:D50)</f>
        <v>110000</v>
      </c>
      <c r="H10" s="11" t="s">
        <v>96</v>
      </c>
      <c r="I10" s="41"/>
      <c r="J10" s="24"/>
    </row>
    <row r="11" spans="2:10" ht="12.75">
      <c r="B11" s="16" t="s">
        <v>48</v>
      </c>
      <c r="C11" s="36">
        <f>LOOKUP(C7,B28:B50,E28:E50)</f>
        <v>0.1</v>
      </c>
      <c r="D11" s="11" t="s">
        <v>97</v>
      </c>
      <c r="E11" s="41"/>
      <c r="F11" s="16" t="s">
        <v>48</v>
      </c>
      <c r="G11" s="168">
        <f>LOOKUP(G7,B28:B50,E28:E50)</f>
        <v>0.284</v>
      </c>
      <c r="H11" s="11" t="s">
        <v>97</v>
      </c>
      <c r="I11" s="41"/>
      <c r="J11" s="24"/>
    </row>
    <row r="12" spans="2:10" ht="12.75">
      <c r="B12" s="30" t="s">
        <v>65</v>
      </c>
      <c r="C12" s="54">
        <f>((PI()/64)*(C5^4-(C5-2*C6)^4))</f>
        <v>0.17015558349553422</v>
      </c>
      <c r="D12" s="24" t="s">
        <v>12</v>
      </c>
      <c r="E12" s="26"/>
      <c r="F12" s="30" t="s">
        <v>65</v>
      </c>
      <c r="G12" s="169">
        <f>((PI()/64)*(G5^4-(G5-2*G6)^4))</f>
        <v>0.34054373491061235</v>
      </c>
      <c r="H12" s="24" t="s">
        <v>12</v>
      </c>
      <c r="I12" s="26"/>
      <c r="J12" s="24"/>
    </row>
    <row r="13" spans="2:9" ht="12.75">
      <c r="B13" s="30" t="s">
        <v>25</v>
      </c>
      <c r="C13" s="54">
        <f>(PI()*(C5^2-(C5-2*C6)^2)/4)</f>
        <v>0.7748926775638438</v>
      </c>
      <c r="D13" s="24" t="s">
        <v>29</v>
      </c>
      <c r="E13" s="26"/>
      <c r="F13" s="30" t="s">
        <v>25</v>
      </c>
      <c r="G13" s="169">
        <f>(PI()*(G5^2-(G5-2*G6)^2)/4)</f>
        <v>1.1780972450961724</v>
      </c>
      <c r="H13" s="24" t="s">
        <v>29</v>
      </c>
      <c r="I13" s="26"/>
    </row>
    <row r="14" spans="2:9" ht="12.75">
      <c r="B14" s="30" t="s">
        <v>27</v>
      </c>
      <c r="C14" s="35">
        <f>(C10*C13)</f>
        <v>38744.633878192195</v>
      </c>
      <c r="D14" s="24" t="s">
        <v>11</v>
      </c>
      <c r="E14" s="26"/>
      <c r="F14" s="30" t="s">
        <v>27</v>
      </c>
      <c r="G14" s="170">
        <f>(G10*G13)</f>
        <v>129590.69696057896</v>
      </c>
      <c r="H14" s="24" t="s">
        <v>11</v>
      </c>
      <c r="I14" s="26"/>
    </row>
    <row r="15" spans="2:9" ht="12.75">
      <c r="B15" s="30" t="s">
        <v>28</v>
      </c>
      <c r="C15" s="35">
        <f>(PI()^2*C9*C12)/(C17^2)</f>
        <v>37900.842783972585</v>
      </c>
      <c r="D15" s="24" t="s">
        <v>11</v>
      </c>
      <c r="E15" s="26"/>
      <c r="F15" s="30" t="s">
        <v>28</v>
      </c>
      <c r="G15" s="170">
        <f>(PI()^2*G9*G12)/(G17^2)</f>
        <v>142349.58825192793</v>
      </c>
      <c r="H15" s="24" t="s">
        <v>11</v>
      </c>
      <c r="I15" s="26"/>
    </row>
    <row r="16" spans="2:9" ht="12.75">
      <c r="B16" s="30" t="s">
        <v>26</v>
      </c>
      <c r="C16" s="35">
        <f>(C10*C12)/(0.125*C5*C17)</f>
        <v>2103.641578209632</v>
      </c>
      <c r="D16" s="24" t="s">
        <v>11</v>
      </c>
      <c r="E16" s="26"/>
      <c r="F16" s="30" t="s">
        <v>26</v>
      </c>
      <c r="G16" s="170">
        <f>(G10*G12)/(0.125*G5*G17)</f>
        <v>6466.6756894802975</v>
      </c>
      <c r="H16" s="24" t="s">
        <v>11</v>
      </c>
      <c r="I16" s="26"/>
    </row>
    <row r="17" spans="2:9" ht="12.75">
      <c r="B17" s="30" t="s">
        <v>43</v>
      </c>
      <c r="C17" s="53">
        <f>U_Length</f>
        <v>21.569654610122992</v>
      </c>
      <c r="D17" s="8" t="s">
        <v>10</v>
      </c>
      <c r="E17" s="42"/>
      <c r="F17" s="30" t="s">
        <v>43</v>
      </c>
      <c r="G17" s="53">
        <f>L_Length</f>
        <v>26.48112535373072</v>
      </c>
      <c r="H17" s="8" t="s">
        <v>10</v>
      </c>
      <c r="I17" s="42"/>
    </row>
    <row r="18" spans="2:9" ht="12.75">
      <c r="B18" s="30" t="s">
        <v>62</v>
      </c>
      <c r="C18" s="20">
        <f>(U_Length*C13*C11)</f>
        <v>1.6714167414965513</v>
      </c>
      <c r="D18" s="15" t="s">
        <v>11</v>
      </c>
      <c r="E18" s="39"/>
      <c r="F18" s="30" t="s">
        <v>62</v>
      </c>
      <c r="G18" s="20">
        <f>(L_Length*G13*G11)</f>
        <v>8.860044794662544</v>
      </c>
      <c r="H18" s="15" t="s">
        <v>11</v>
      </c>
      <c r="I18" s="39"/>
    </row>
    <row r="19" spans="2:9" ht="12.75">
      <c r="B19" s="14" t="s">
        <v>17</v>
      </c>
      <c r="C19" s="63">
        <f>U_Force</f>
        <v>26126.24414651147</v>
      </c>
      <c r="D19" s="112" t="str">
        <f>IF(C19&lt;0,"lb (Compression)","lb (Tension)")</f>
        <v>lb (Tension)</v>
      </c>
      <c r="E19" s="43"/>
      <c r="F19" s="14" t="s">
        <v>17</v>
      </c>
      <c r="G19" s="63">
        <f>L_Force</f>
        <v>-35981.50524821576</v>
      </c>
      <c r="H19" s="112" t="str">
        <f>IF(G19&lt;0,"lb (Compression)","lb (Tension)")</f>
        <v>lb (Compression)</v>
      </c>
      <c r="I19" s="43"/>
    </row>
    <row r="20" spans="2:9" ht="12.75">
      <c r="B20" s="14" t="s">
        <v>18</v>
      </c>
      <c r="C20" s="20">
        <f>ABS(C14/U_Force)</f>
        <v>1.4829775631322655</v>
      </c>
      <c r="D20" s="10" t="s">
        <v>114</v>
      </c>
      <c r="E20" s="44"/>
      <c r="F20" s="14" t="s">
        <v>18</v>
      </c>
      <c r="G20" s="20">
        <f>ABS(G14/L_Force)</f>
        <v>3.601591875231653</v>
      </c>
      <c r="H20" s="10" t="s">
        <v>118</v>
      </c>
      <c r="I20" s="44"/>
    </row>
    <row r="21" spans="2:9" ht="12.75">
      <c r="B21" s="14" t="s">
        <v>19</v>
      </c>
      <c r="C21" s="20">
        <f>ABS(C15/U_Force)</f>
        <v>1.4506808774897453</v>
      </c>
      <c r="D21" s="10" t="s">
        <v>115</v>
      </c>
      <c r="E21" s="44"/>
      <c r="F21" s="14" t="s">
        <v>19</v>
      </c>
      <c r="G21" s="20">
        <f>ABS(G15/L_Force)</f>
        <v>3.9561876933702407</v>
      </c>
      <c r="H21" s="10" t="s">
        <v>119</v>
      </c>
      <c r="I21" s="44"/>
    </row>
    <row r="22" spans="2:9" ht="12.75">
      <c r="B22" s="30" t="s">
        <v>111</v>
      </c>
      <c r="C22" s="20">
        <f>ABS(C16/(Vehicle_Mass/2))</f>
        <v>1.1071797780050694</v>
      </c>
      <c r="D22" s="10" t="s">
        <v>116</v>
      </c>
      <c r="E22" s="44"/>
      <c r="F22" s="14" t="s">
        <v>20</v>
      </c>
      <c r="G22" s="20">
        <f>ABS(G16/(Vehicle_Mass/2))</f>
        <v>3.403513520779104</v>
      </c>
      <c r="H22" s="10" t="s">
        <v>120</v>
      </c>
      <c r="I22" s="44"/>
    </row>
    <row r="23" spans="2:9" ht="12.75">
      <c r="B23" s="18" t="s">
        <v>22</v>
      </c>
      <c r="C23" s="20">
        <f>ABS(C8/U_Force)</f>
        <v>2.105162904073371</v>
      </c>
      <c r="D23" s="6" t="s">
        <v>117</v>
      </c>
      <c r="E23" s="45"/>
      <c r="F23" s="18" t="s">
        <v>22</v>
      </c>
      <c r="G23" s="20">
        <f>ABS(G8/L_Force)</f>
        <v>1.528563066513937</v>
      </c>
      <c r="H23" s="6" t="s">
        <v>117</v>
      </c>
      <c r="I23" s="45"/>
    </row>
    <row r="24" spans="2:7" ht="12.75">
      <c r="B24" s="129" t="s">
        <v>36</v>
      </c>
      <c r="C24" s="130"/>
      <c r="D24" s="130"/>
      <c r="E24" s="130"/>
      <c r="F24" s="130"/>
      <c r="G24" s="130"/>
    </row>
    <row r="25" spans="2:9" ht="12.75">
      <c r="B25" s="131"/>
      <c r="C25" s="132"/>
      <c r="D25" s="132"/>
      <c r="E25" s="132"/>
      <c r="F25" s="132"/>
      <c r="G25" s="133"/>
      <c r="I25" s="17" t="s">
        <v>129</v>
      </c>
    </row>
    <row r="26" spans="2:9" ht="12.75">
      <c r="B26" s="134"/>
      <c r="C26" s="135" t="s">
        <v>37</v>
      </c>
      <c r="D26" s="135" t="s">
        <v>39</v>
      </c>
      <c r="E26" s="135" t="s">
        <v>48</v>
      </c>
      <c r="F26" s="136"/>
      <c r="G26" s="12"/>
      <c r="I26" s="17" t="s">
        <v>41</v>
      </c>
    </row>
    <row r="27" spans="2:9" ht="12.75">
      <c r="B27" s="134"/>
      <c r="C27" s="137" t="s">
        <v>38</v>
      </c>
      <c r="D27" s="137" t="s">
        <v>40</v>
      </c>
      <c r="E27" s="137" t="s">
        <v>49</v>
      </c>
      <c r="F27" s="136"/>
      <c r="G27" s="12"/>
      <c r="I27" s="17" t="s">
        <v>66</v>
      </c>
    </row>
    <row r="28" spans="2:9" ht="12.75">
      <c r="B28" s="138" t="s">
        <v>52</v>
      </c>
      <c r="C28" s="139">
        <v>10500000</v>
      </c>
      <c r="D28" s="139">
        <v>50000</v>
      </c>
      <c r="E28" s="140">
        <v>0.1</v>
      </c>
      <c r="F28" s="141"/>
      <c r="G28" s="142"/>
      <c r="I28" s="209" t="s">
        <v>143</v>
      </c>
    </row>
    <row r="29" spans="2:7" ht="12.75">
      <c r="B29" s="138" t="s">
        <v>50</v>
      </c>
      <c r="C29" s="139">
        <v>10000000</v>
      </c>
      <c r="D29" s="139">
        <v>39900</v>
      </c>
      <c r="E29" s="140">
        <v>0.0975</v>
      </c>
      <c r="F29" s="141"/>
      <c r="G29" s="142"/>
    </row>
    <row r="30" spans="2:7" ht="12.75">
      <c r="B30" s="138" t="s">
        <v>51</v>
      </c>
      <c r="C30" s="139">
        <v>10400000</v>
      </c>
      <c r="D30" s="139">
        <v>73200</v>
      </c>
      <c r="E30" s="140">
        <v>0.102</v>
      </c>
      <c r="F30" s="141"/>
      <c r="G30" s="142"/>
    </row>
    <row r="31" spans="2:7" ht="12.75">
      <c r="B31" s="143" t="s">
        <v>103</v>
      </c>
      <c r="C31" s="139">
        <v>29000000</v>
      </c>
      <c r="D31" s="139">
        <v>50000</v>
      </c>
      <c r="E31" s="140">
        <v>0.284</v>
      </c>
      <c r="F31" s="141" t="s">
        <v>44</v>
      </c>
      <c r="G31" s="142"/>
    </row>
    <row r="32" spans="2:7" ht="12.75">
      <c r="B32" s="138" t="s">
        <v>104</v>
      </c>
      <c r="C32" s="139">
        <v>29700000</v>
      </c>
      <c r="D32" s="139">
        <v>63100</v>
      </c>
      <c r="E32" s="140">
        <v>0.284</v>
      </c>
      <c r="F32" s="141" t="s">
        <v>45</v>
      </c>
      <c r="G32" s="142"/>
    </row>
    <row r="33" spans="2:7" ht="12.75">
      <c r="B33" s="138" t="s">
        <v>105</v>
      </c>
      <c r="C33" s="139">
        <v>29700000</v>
      </c>
      <c r="D33" s="139">
        <v>110000</v>
      </c>
      <c r="E33" s="140">
        <v>0.284</v>
      </c>
      <c r="F33" s="141" t="s">
        <v>46</v>
      </c>
      <c r="G33" s="142"/>
    </row>
    <row r="34" spans="2:7" ht="12.75">
      <c r="B34" s="138" t="s">
        <v>106</v>
      </c>
      <c r="C34" s="139">
        <v>29700000</v>
      </c>
      <c r="D34" s="139">
        <v>114000</v>
      </c>
      <c r="E34" s="140">
        <v>0.284</v>
      </c>
      <c r="F34" s="141" t="s">
        <v>45</v>
      </c>
      <c r="G34" s="142"/>
    </row>
    <row r="35" spans="2:7" ht="12.75">
      <c r="B35" s="138" t="s">
        <v>107</v>
      </c>
      <c r="C35" s="139">
        <v>29700000</v>
      </c>
      <c r="D35" s="139">
        <v>160000</v>
      </c>
      <c r="E35" s="140">
        <v>0.284</v>
      </c>
      <c r="F35" s="141" t="s">
        <v>47</v>
      </c>
      <c r="G35" s="142"/>
    </row>
    <row r="36" spans="2:7" ht="12.75">
      <c r="B36" s="138" t="s">
        <v>53</v>
      </c>
      <c r="C36" s="139">
        <v>16500000</v>
      </c>
      <c r="D36" s="139">
        <v>128000</v>
      </c>
      <c r="E36" s="140">
        <v>0.16</v>
      </c>
      <c r="F36" s="141" t="s">
        <v>54</v>
      </c>
      <c r="G36" s="142"/>
    </row>
    <row r="37" spans="2:7" ht="12.75">
      <c r="B37" s="144"/>
      <c r="C37" s="33"/>
      <c r="D37" s="32"/>
      <c r="E37" s="32"/>
      <c r="F37" s="32"/>
      <c r="G37" s="145"/>
    </row>
    <row r="38" spans="2:7" ht="12.75">
      <c r="B38" s="144"/>
      <c r="C38" s="33"/>
      <c r="D38" s="32"/>
      <c r="E38" s="32"/>
      <c r="F38" s="32"/>
      <c r="G38" s="145"/>
    </row>
    <row r="39" spans="2:7" ht="12.75">
      <c r="B39" s="144"/>
      <c r="C39" s="33"/>
      <c r="D39" s="32"/>
      <c r="E39" s="32"/>
      <c r="F39" s="32"/>
      <c r="G39" s="145"/>
    </row>
    <row r="40" spans="2:7" ht="12.75">
      <c r="B40" s="144"/>
      <c r="C40" s="33"/>
      <c r="D40" s="32"/>
      <c r="E40" s="32"/>
      <c r="F40" s="32"/>
      <c r="G40" s="145"/>
    </row>
    <row r="41" spans="2:7" ht="12.75">
      <c r="B41" s="144"/>
      <c r="C41" s="33"/>
      <c r="D41" s="32"/>
      <c r="E41" s="32"/>
      <c r="F41" s="32"/>
      <c r="G41" s="145"/>
    </row>
    <row r="42" spans="2:7" ht="12.75">
      <c r="B42" s="144"/>
      <c r="C42" s="33"/>
      <c r="D42" s="32"/>
      <c r="E42" s="32"/>
      <c r="F42" s="32"/>
      <c r="G42" s="145"/>
    </row>
    <row r="43" spans="2:7" ht="12.75">
      <c r="B43" s="144"/>
      <c r="C43" s="33"/>
      <c r="D43" s="32"/>
      <c r="E43" s="32"/>
      <c r="F43" s="32"/>
      <c r="G43" s="145"/>
    </row>
    <row r="44" spans="2:7" ht="12.75">
      <c r="B44" s="144"/>
      <c r="C44" s="33"/>
      <c r="D44" s="32"/>
      <c r="E44" s="32"/>
      <c r="F44" s="32"/>
      <c r="G44" s="145"/>
    </row>
    <row r="45" spans="2:7" ht="12.75">
      <c r="B45" s="144"/>
      <c r="C45" s="33"/>
      <c r="D45" s="32"/>
      <c r="E45" s="32"/>
      <c r="F45" s="32"/>
      <c r="G45" s="145"/>
    </row>
    <row r="46" spans="2:7" ht="12.75">
      <c r="B46" s="144"/>
      <c r="C46" s="33"/>
      <c r="D46" s="32"/>
      <c r="E46" s="32"/>
      <c r="F46" s="32"/>
      <c r="G46" s="145"/>
    </row>
    <row r="47" spans="2:7" ht="12.75">
      <c r="B47" s="144"/>
      <c r="C47" s="33"/>
      <c r="D47" s="32"/>
      <c r="E47" s="32"/>
      <c r="F47" s="32"/>
      <c r="G47" s="145"/>
    </row>
    <row r="48" spans="2:7" ht="12.75">
      <c r="B48" s="144"/>
      <c r="C48" s="33"/>
      <c r="D48" s="32"/>
      <c r="E48" s="32"/>
      <c r="F48" s="32"/>
      <c r="G48" s="145"/>
    </row>
    <row r="49" spans="2:7" ht="12.75">
      <c r="B49" s="144"/>
      <c r="C49" s="33"/>
      <c r="D49" s="32"/>
      <c r="E49" s="32"/>
      <c r="F49" s="32"/>
      <c r="G49" s="145"/>
    </row>
    <row r="50" spans="2:7" ht="12.75">
      <c r="B50" s="146"/>
      <c r="C50" s="147"/>
      <c r="D50" s="148"/>
      <c r="E50" s="148"/>
      <c r="F50" s="148"/>
      <c r="G50" s="149"/>
    </row>
    <row r="51" ht="12.75">
      <c r="B51" s="164" t="s">
        <v>144</v>
      </c>
    </row>
  </sheetData>
  <sheetProtection/>
  <dataValidations count="1">
    <dataValidation type="list" allowBlank="1" showInputMessage="1" showErrorMessage="1" sqref="G7 C7">
      <formula1>$B$28:$B$50</formula1>
    </dataValidation>
  </dataValidations>
  <hyperlinks>
    <hyperlink ref="I28" r:id="rId1" display="triaged@gmail.com"/>
  </hyperlinks>
  <printOptions horizontalCentered="1" verticalCentered="1"/>
  <pageMargins left="0.5" right="0.5" top="0.5" bottom="0.5" header="0.5" footer="0.5"/>
  <pageSetup fitToHeight="1" fitToWidth="1" horizontalDpi="600" verticalDpi="600" orientation="landscape" scale="9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N5"/>
  <sheetViews>
    <sheetView zoomScalePageLayoutView="0" workbookViewId="0" topLeftCell="A1">
      <selection activeCell="H47" sqref="H47"/>
    </sheetView>
  </sheetViews>
  <sheetFormatPr defaultColWidth="9.140625" defaultRowHeight="12.75"/>
  <cols>
    <col min="1" max="1" width="1.421875" style="21" customWidth="1"/>
    <col min="2" max="2" width="9.140625" style="21" customWidth="1"/>
    <col min="3" max="3" width="9.140625" style="23" customWidth="1"/>
    <col min="4" max="16384" width="9.140625" style="21" customWidth="1"/>
  </cols>
  <sheetData>
    <row r="1" ht="20.25">
      <c r="B1" s="68" t="str">
        <f>Main!B1</f>
        <v>4 Bar Linkage Calculator v3.0</v>
      </c>
    </row>
    <row r="2" ht="12.75">
      <c r="N2" s="17" t="s">
        <v>129</v>
      </c>
    </row>
    <row r="3" spans="2:14" ht="15">
      <c r="B3" s="22"/>
      <c r="N3" s="79" t="s">
        <v>41</v>
      </c>
    </row>
    <row r="4" ht="12.75">
      <c r="N4" s="79" t="s">
        <v>66</v>
      </c>
    </row>
    <row r="5" ht="12.75">
      <c r="N5" s="209" t="s">
        <v>143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 selectLockedCells="1" selectUnlockedCells="1"/>
  <hyperlinks>
    <hyperlink ref="N5" r:id="rId1" display="triaged@gmail.com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X29"/>
  <sheetViews>
    <sheetView zoomScale="85" zoomScaleNormal="85" zoomScalePageLayoutView="0" workbookViewId="0" topLeftCell="A1">
      <selection activeCell="V77" sqref="V77"/>
    </sheetView>
  </sheetViews>
  <sheetFormatPr defaultColWidth="11.421875" defaultRowHeight="12.75"/>
  <cols>
    <col min="1" max="1" width="1.421875" style="172" customWidth="1"/>
    <col min="2" max="2" width="5.7109375" style="195" customWidth="1"/>
    <col min="3" max="3" width="9.00390625" style="172" bestFit="1" customWidth="1"/>
    <col min="4" max="4" width="5.7109375" style="172" bestFit="1" customWidth="1"/>
    <col min="5" max="5" width="8.57421875" style="172" bestFit="1" customWidth="1"/>
    <col min="6" max="6" width="5.7109375" style="172" bestFit="1" customWidth="1"/>
    <col min="7" max="7" width="14.00390625" style="172" bestFit="1" customWidth="1"/>
    <col min="8" max="8" width="8.7109375" style="172" bestFit="1" customWidth="1"/>
    <col min="9" max="9" width="9.140625" style="172" bestFit="1" customWidth="1"/>
    <col min="10" max="10" width="10.00390625" style="172" bestFit="1" customWidth="1"/>
    <col min="11" max="11" width="3.57421875" style="172" customWidth="1"/>
    <col min="12" max="12" width="9.28125" style="172" customWidth="1"/>
    <col min="13" max="13" width="6.28125" style="172" bestFit="1" customWidth="1"/>
    <col min="14" max="14" width="6.7109375" style="172" bestFit="1" customWidth="1"/>
    <col min="15" max="15" width="11.421875" style="172" customWidth="1"/>
    <col min="16" max="16" width="17.421875" style="172" bestFit="1" customWidth="1"/>
    <col min="17" max="16384" width="11.421875" style="172" customWidth="1"/>
  </cols>
  <sheetData>
    <row r="1" ht="20.25">
      <c r="B1" s="190" t="str">
        <f>Main!B1</f>
        <v>4 Bar Linkage Calculator v3.0</v>
      </c>
    </row>
    <row r="2" spans="2:24" s="177" customFormat="1" ht="15">
      <c r="B2" s="191" t="s">
        <v>77</v>
      </c>
      <c r="C2" s="174"/>
      <c r="D2" s="174"/>
      <c r="E2" s="174"/>
      <c r="F2" s="174"/>
      <c r="G2" s="174"/>
      <c r="H2" s="174"/>
      <c r="I2" s="174"/>
      <c r="J2" s="175"/>
      <c r="K2" s="176"/>
      <c r="L2" s="173" t="s">
        <v>78</v>
      </c>
      <c r="M2" s="174"/>
      <c r="N2" s="175"/>
      <c r="P2" s="17" t="s">
        <v>129</v>
      </c>
      <c r="X2" s="179"/>
    </row>
    <row r="3" spans="2:16" ht="12.75">
      <c r="B3" s="192"/>
      <c r="C3" s="180" t="s">
        <v>71</v>
      </c>
      <c r="D3" s="181"/>
      <c r="E3" s="180" t="s">
        <v>72</v>
      </c>
      <c r="F3" s="181"/>
      <c r="G3" s="180" t="s">
        <v>74</v>
      </c>
      <c r="H3" s="181"/>
      <c r="I3" s="172" t="s">
        <v>124</v>
      </c>
      <c r="J3" s="205">
        <f>Wheelbase*20</f>
        <v>2020</v>
      </c>
      <c r="K3" s="182"/>
      <c r="L3" s="183" t="s">
        <v>84</v>
      </c>
      <c r="M3" s="184">
        <v>80</v>
      </c>
      <c r="N3" s="185"/>
      <c r="P3" s="178" t="s">
        <v>41</v>
      </c>
    </row>
    <row r="4" spans="2:16" ht="12.75">
      <c r="B4" s="193" t="s">
        <v>80</v>
      </c>
      <c r="C4" s="66" t="s">
        <v>1</v>
      </c>
      <c r="D4" s="67" t="s">
        <v>5</v>
      </c>
      <c r="E4" s="66" t="s">
        <v>1</v>
      </c>
      <c r="F4" s="67" t="s">
        <v>5</v>
      </c>
      <c r="G4" s="66" t="s">
        <v>1</v>
      </c>
      <c r="H4" s="67" t="s">
        <v>5</v>
      </c>
      <c r="I4" s="180" t="s">
        <v>102</v>
      </c>
      <c r="J4" s="186">
        <v>4</v>
      </c>
      <c r="K4" s="187"/>
      <c r="L4" s="180" t="s">
        <v>4</v>
      </c>
      <c r="M4" s="188"/>
      <c r="N4" s="181"/>
      <c r="P4" s="178" t="s">
        <v>66</v>
      </c>
    </row>
    <row r="5" spans="2:16" ht="12.75">
      <c r="B5" s="193">
        <v>0</v>
      </c>
      <c r="C5" s="66">
        <f aca="true" t="shared" si="0" ref="C5:C29">(Wheelbase-(SIN(RADIANS(B5)))*(Tire_Diameter/2))</f>
        <v>101</v>
      </c>
      <c r="D5" s="67">
        <f aca="true" t="shared" si="1" ref="D5:D29">IF((Tire_Rolling_Radius-((COS(RADIANS(B5)))*(Tire_Diameter/2)))&lt;0,0,(Tire_Rolling_Radius-((COS(RADIANS(B5)))*(Tire_Diameter/2))))</f>
        <v>0</v>
      </c>
      <c r="E5" s="66">
        <f aca="true" t="shared" si="2" ref="E5:E29">((SIN(RADIANS(B5)))*(Tire_Diameter/2))</f>
        <v>0</v>
      </c>
      <c r="F5" s="67">
        <f aca="true" t="shared" si="3" ref="F5:F29">(D5)</f>
        <v>0</v>
      </c>
      <c r="G5" s="66">
        <f>UF_X</f>
        <v>20</v>
      </c>
      <c r="H5" s="67">
        <f>UF_Z</f>
        <v>22</v>
      </c>
      <c r="I5" s="66" t="s">
        <v>1</v>
      </c>
      <c r="J5" s="67" t="s">
        <v>5</v>
      </c>
      <c r="K5" s="187"/>
      <c r="L5" s="66" t="s">
        <v>1</v>
      </c>
      <c r="M5" s="187" t="s">
        <v>0</v>
      </c>
      <c r="N5" s="67" t="s">
        <v>85</v>
      </c>
      <c r="P5" s="209" t="s">
        <v>143</v>
      </c>
    </row>
    <row r="6" spans="2:16" ht="12.75">
      <c r="B6" s="193">
        <v>15</v>
      </c>
      <c r="C6" s="66">
        <f t="shared" si="0"/>
        <v>96.47066671070588</v>
      </c>
      <c r="D6" s="67">
        <f t="shared" si="1"/>
        <v>0.09629803994130626</v>
      </c>
      <c r="E6" s="66">
        <f t="shared" si="2"/>
        <v>4.529333289294113</v>
      </c>
      <c r="F6" s="67">
        <f t="shared" si="3"/>
        <v>0.09629803994130626</v>
      </c>
      <c r="G6" s="64">
        <f>IF(ABS(IC_X)&gt;J3,$J$3,IC_X)</f>
        <v>47.670454545454554</v>
      </c>
      <c r="H6" s="65">
        <f>IF(G6=J3,G6*VectorCalculations!C17+UA_Z,IC_Z)</f>
        <v>17.849431818181817</v>
      </c>
      <c r="I6" s="66">
        <f>SIN(RADIANS(B5))*$J$4/2</f>
        <v>0</v>
      </c>
      <c r="J6" s="67">
        <f>(COS(RADIANS(B5))*$J$4/2)+Tire_Rolling_Radius</f>
        <v>19</v>
      </c>
      <c r="K6" s="187"/>
      <c r="L6" s="66">
        <f>UF_X</f>
        <v>20</v>
      </c>
      <c r="M6" s="187">
        <f>UF_Y</f>
        <v>13.5</v>
      </c>
      <c r="N6" s="67">
        <f>(M6+$M$3)</f>
        <v>93.5</v>
      </c>
      <c r="P6" s="187"/>
    </row>
    <row r="7" spans="2:16" ht="12.75">
      <c r="B7" s="193">
        <v>30</v>
      </c>
      <c r="C7" s="66">
        <f t="shared" si="0"/>
        <v>92.25</v>
      </c>
      <c r="D7" s="67">
        <f t="shared" si="1"/>
        <v>1.8445554337723227</v>
      </c>
      <c r="E7" s="66">
        <f t="shared" si="2"/>
        <v>8.749999999999998</v>
      </c>
      <c r="F7" s="67">
        <f t="shared" si="3"/>
        <v>1.8445554337723227</v>
      </c>
      <c r="G7" s="180" t="s">
        <v>73</v>
      </c>
      <c r="H7" s="181"/>
      <c r="I7" s="66">
        <f>SIN(RADIANS(B7))*$J$4/2</f>
        <v>0.9999999999999999</v>
      </c>
      <c r="J7" s="67">
        <f>(COS(RADIANS(B7))*$J$4/2)+Tire_Rolling_Radius</f>
        <v>18.73205080756888</v>
      </c>
      <c r="K7" s="187"/>
      <c r="L7" s="66">
        <f>UA_X</f>
        <v>0</v>
      </c>
      <c r="M7" s="187">
        <f>UA_Y</f>
        <v>6</v>
      </c>
      <c r="N7" s="67">
        <f>(M7+$M$3)</f>
        <v>86</v>
      </c>
      <c r="P7" s="187"/>
    </row>
    <row r="8" spans="2:16" ht="12.75">
      <c r="B8" s="193">
        <v>45</v>
      </c>
      <c r="C8" s="66">
        <f t="shared" si="0"/>
        <v>88.62563132923542</v>
      </c>
      <c r="D8" s="67">
        <f t="shared" si="1"/>
        <v>4.625631329235418</v>
      </c>
      <c r="E8" s="66">
        <f t="shared" si="2"/>
        <v>12.37436867076458</v>
      </c>
      <c r="F8" s="67">
        <f t="shared" si="3"/>
        <v>4.625631329235418</v>
      </c>
      <c r="G8" s="66" t="s">
        <v>1</v>
      </c>
      <c r="H8" s="67" t="s">
        <v>5</v>
      </c>
      <c r="I8" s="66">
        <f>SIN(RADIANS(B9))*$J$4/2</f>
        <v>1.7320508075688772</v>
      </c>
      <c r="J8" s="67">
        <f>(COS(RADIANS(B9))*$J$4/2)+Tire_Rolling_Radius</f>
        <v>18</v>
      </c>
      <c r="K8" s="187"/>
      <c r="L8" s="66">
        <f>UF_X</f>
        <v>20</v>
      </c>
      <c r="M8" s="187">
        <f>(-M6)</f>
        <v>-13.5</v>
      </c>
      <c r="N8" s="67">
        <f>(M8+$M$3)</f>
        <v>66.5</v>
      </c>
      <c r="P8" s="182"/>
    </row>
    <row r="9" spans="2:16" ht="12.75">
      <c r="B9" s="193">
        <v>60</v>
      </c>
      <c r="C9" s="66">
        <f t="shared" si="0"/>
        <v>85.84455543377233</v>
      </c>
      <c r="D9" s="67">
        <f t="shared" si="1"/>
        <v>8.249999999999998</v>
      </c>
      <c r="E9" s="66">
        <f t="shared" si="2"/>
        <v>15.155444566227676</v>
      </c>
      <c r="F9" s="67">
        <f t="shared" si="3"/>
        <v>8.249999999999998</v>
      </c>
      <c r="G9" s="66">
        <f>LF_X</f>
        <v>29.5</v>
      </c>
      <c r="H9" s="67">
        <f>LF_Z</f>
        <v>17.5</v>
      </c>
      <c r="I9" s="66">
        <f>SIN(RADIANS(B11))*$J$4/2</f>
        <v>2</v>
      </c>
      <c r="J9" s="67">
        <f>(COS(RADIANS(B11))*$J$4/2)+Tire_Rolling_Radius</f>
        <v>17</v>
      </c>
      <c r="K9" s="187"/>
      <c r="L9" s="64">
        <f>UA_X</f>
        <v>0</v>
      </c>
      <c r="M9" s="189">
        <f>(-M7)</f>
        <v>-6</v>
      </c>
      <c r="N9" s="65">
        <f>(M9+$M$3)</f>
        <v>74</v>
      </c>
      <c r="P9" s="187"/>
    </row>
    <row r="10" spans="2:14" ht="12.75">
      <c r="B10" s="193">
        <v>75</v>
      </c>
      <c r="C10" s="66">
        <f t="shared" si="0"/>
        <v>84.0962980399413</v>
      </c>
      <c r="D10" s="67">
        <f t="shared" si="1"/>
        <v>12.470666710705887</v>
      </c>
      <c r="E10" s="66">
        <f t="shared" si="2"/>
        <v>16.903701960058694</v>
      </c>
      <c r="F10" s="67">
        <f t="shared" si="3"/>
        <v>12.470666710705887</v>
      </c>
      <c r="G10" s="64">
        <f>IF(ABS(IC_X)&gt;J3,$J$3,IC_X)</f>
        <v>47.670454545454554</v>
      </c>
      <c r="H10" s="65">
        <f>IF(G10=J3,G10*VectorCalculations!C29+LA_Z,IC_Z)</f>
        <v>17.849431818181817</v>
      </c>
      <c r="I10" s="66">
        <f>SIN(RADIANS(B13))*$J$4/2</f>
        <v>1.7320508075688774</v>
      </c>
      <c r="J10" s="67">
        <f>(COS(RADIANS(B13))*$J$4/2)+Tire_Rolling_Radius</f>
        <v>16</v>
      </c>
      <c r="K10" s="187"/>
      <c r="L10" s="180" t="s">
        <v>74</v>
      </c>
      <c r="M10" s="188"/>
      <c r="N10" s="181"/>
    </row>
    <row r="11" spans="2:14" ht="12.75">
      <c r="B11" s="193">
        <v>90</v>
      </c>
      <c r="C11" s="66">
        <f t="shared" si="0"/>
        <v>83.5</v>
      </c>
      <c r="D11" s="67">
        <f t="shared" si="1"/>
        <v>17</v>
      </c>
      <c r="E11" s="66">
        <f t="shared" si="2"/>
        <v>17.5</v>
      </c>
      <c r="F11" s="67">
        <f t="shared" si="3"/>
        <v>17</v>
      </c>
      <c r="G11" s="180" t="s">
        <v>75</v>
      </c>
      <c r="H11" s="181"/>
      <c r="I11" s="66">
        <f>SIN(RADIANS(B15))*$J$4/2</f>
        <v>0.9999999999999999</v>
      </c>
      <c r="J11" s="67">
        <f>(COS(RADIANS(B15))*$J$4/2)+Tire_Rolling_Radius</f>
        <v>15.267949192431123</v>
      </c>
      <c r="K11" s="187"/>
      <c r="L11" s="66" t="s">
        <v>1</v>
      </c>
      <c r="M11" s="187" t="s">
        <v>0</v>
      </c>
      <c r="N11" s="67"/>
    </row>
    <row r="12" spans="2:14" ht="12.75">
      <c r="B12" s="193">
        <v>105</v>
      </c>
      <c r="C12" s="66">
        <f t="shared" si="0"/>
        <v>84.0962980399413</v>
      </c>
      <c r="D12" s="67">
        <f t="shared" si="1"/>
        <v>21.529333289294115</v>
      </c>
      <c r="E12" s="66">
        <f t="shared" si="2"/>
        <v>16.903701960058694</v>
      </c>
      <c r="F12" s="67">
        <f t="shared" si="3"/>
        <v>21.529333289294115</v>
      </c>
      <c r="G12" s="66" t="s">
        <v>1</v>
      </c>
      <c r="H12" s="67" t="s">
        <v>5</v>
      </c>
      <c r="I12" s="66">
        <f>SIN(RADIANS(B17))*$J$4/2</f>
        <v>2.45029690981724E-16</v>
      </c>
      <c r="J12" s="67">
        <f>(COS(RADIANS(B17))*$J$4/2)+Tire_Rolling_Radius</f>
        <v>15</v>
      </c>
      <c r="K12" s="187"/>
      <c r="L12" s="66">
        <f>L7</f>
        <v>0</v>
      </c>
      <c r="M12" s="187">
        <f>M7</f>
        <v>6</v>
      </c>
      <c r="N12" s="67">
        <f>(M12+$M$3)</f>
        <v>86</v>
      </c>
    </row>
    <row r="13" spans="2:14" ht="12.75">
      <c r="B13" s="193">
        <v>120</v>
      </c>
      <c r="C13" s="66">
        <f t="shared" si="0"/>
        <v>85.84455543377233</v>
      </c>
      <c r="D13" s="67">
        <f t="shared" si="1"/>
        <v>25.749999999999996</v>
      </c>
      <c r="E13" s="66">
        <f t="shared" si="2"/>
        <v>15.155444566227677</v>
      </c>
      <c r="F13" s="67">
        <f t="shared" si="3"/>
        <v>25.749999999999996</v>
      </c>
      <c r="G13" s="66">
        <v>0</v>
      </c>
      <c r="H13" s="67">
        <v>0</v>
      </c>
      <c r="I13" s="66">
        <f>SIN(RADIANS(B19))*$J$4/2</f>
        <v>-1.0000000000000002</v>
      </c>
      <c r="J13" s="67">
        <f>(COS(RADIANS(B19))*$J$4/2)+Tire_Rolling_Radius</f>
        <v>15.267949192431123</v>
      </c>
      <c r="K13" s="187"/>
      <c r="L13" s="66">
        <f>IF(VectorCalculations!C13="Parallel",$J$3,VectorCalculations!C13)</f>
        <v>-16</v>
      </c>
      <c r="M13" s="187">
        <f>IF(L13=J3,M12,VectorCalculations!D13)</f>
        <v>0</v>
      </c>
      <c r="N13" s="67">
        <f>(M13+$M$3)</f>
        <v>80</v>
      </c>
    </row>
    <row r="14" spans="2:14" ht="12.75">
      <c r="B14" s="193">
        <v>135</v>
      </c>
      <c r="C14" s="66">
        <f t="shared" si="0"/>
        <v>88.62563132923542</v>
      </c>
      <c r="D14" s="67">
        <f t="shared" si="1"/>
        <v>29.374368670764582</v>
      </c>
      <c r="E14" s="66">
        <f t="shared" si="2"/>
        <v>12.374368670764582</v>
      </c>
      <c r="F14" s="67">
        <f t="shared" si="3"/>
        <v>29.374368670764582</v>
      </c>
      <c r="G14" s="66">
        <f>IF(ABS(IC_X)&gt;J3,$J$3,IC_X)</f>
        <v>47.670454545454554</v>
      </c>
      <c r="H14" s="67">
        <f>IF(G14=J3,G14*VectorCalculations!C29+UA_Z,IC_Z)</f>
        <v>17.849431818181817</v>
      </c>
      <c r="I14" s="66">
        <f>SIN(RADIANS(B21))*$J$4/2</f>
        <v>-1.7320508075688767</v>
      </c>
      <c r="J14" s="67">
        <f>(COS(RADIANS(B21))*$J$4/2)+Tire_Rolling_Radius</f>
        <v>16</v>
      </c>
      <c r="K14" s="187"/>
      <c r="L14" s="66">
        <f>IF(VectorCalculations!C13="Parallel",$J$3,VectorCalculations!C13)</f>
        <v>-16</v>
      </c>
      <c r="M14" s="187">
        <f>IF(L14=J3,M15,VectorCalculations!D13)</f>
        <v>0</v>
      </c>
      <c r="N14" s="67">
        <f>(M14+$M$3)</f>
        <v>80</v>
      </c>
    </row>
    <row r="15" spans="2:14" ht="12.75">
      <c r="B15" s="193">
        <v>150</v>
      </c>
      <c r="C15" s="66">
        <f t="shared" si="0"/>
        <v>92.25</v>
      </c>
      <c r="D15" s="67">
        <f t="shared" si="1"/>
        <v>32.15544456622768</v>
      </c>
      <c r="E15" s="66">
        <f t="shared" si="2"/>
        <v>8.749999999999998</v>
      </c>
      <c r="F15" s="67">
        <f t="shared" si="3"/>
        <v>32.15544456622768</v>
      </c>
      <c r="G15" s="64">
        <f>Wheelbase</f>
        <v>101</v>
      </c>
      <c r="H15" s="65">
        <f>FORECAST(G15,H13:H14,G13:G14)</f>
        <v>37.81781883194278</v>
      </c>
      <c r="I15" s="66">
        <f>SIN(RADIANS(B23))*$J$4/2</f>
        <v>-2</v>
      </c>
      <c r="J15" s="67">
        <f>(COS(RADIANS(B23))*$J$4/2)+Tire_Rolling_Radius</f>
        <v>17</v>
      </c>
      <c r="K15" s="187"/>
      <c r="L15" s="64">
        <f>L12</f>
        <v>0</v>
      </c>
      <c r="M15" s="189">
        <f>-M12</f>
        <v>-6</v>
      </c>
      <c r="N15" s="65">
        <f>(M15+$M$3)</f>
        <v>74</v>
      </c>
    </row>
    <row r="16" spans="2:14" ht="12.75">
      <c r="B16" s="193">
        <v>165</v>
      </c>
      <c r="C16" s="66">
        <f t="shared" si="0"/>
        <v>96.47066671070588</v>
      </c>
      <c r="D16" s="67">
        <f t="shared" si="1"/>
        <v>33.9037019600587</v>
      </c>
      <c r="E16" s="66">
        <f t="shared" si="2"/>
        <v>4.529333289294118</v>
      </c>
      <c r="F16" s="67">
        <f t="shared" si="3"/>
        <v>33.9037019600587</v>
      </c>
      <c r="G16" s="180" t="s">
        <v>127</v>
      </c>
      <c r="H16" s="181"/>
      <c r="I16" s="66">
        <f>SIN(RADIANS(B25))*$J$4/2</f>
        <v>-1.7320508075688772</v>
      </c>
      <c r="J16" s="67">
        <f>(COS(RADIANS(B25))*$J$4/2)+Tire_Rolling_Radius</f>
        <v>18</v>
      </c>
      <c r="K16" s="187"/>
      <c r="L16" s="180" t="s">
        <v>6</v>
      </c>
      <c r="M16" s="188"/>
      <c r="N16" s="181"/>
    </row>
    <row r="17" spans="2:14" ht="12.75">
      <c r="B17" s="193">
        <v>180</v>
      </c>
      <c r="C17" s="66">
        <f t="shared" si="0"/>
        <v>101</v>
      </c>
      <c r="D17" s="67">
        <f t="shared" si="1"/>
        <v>34.5</v>
      </c>
      <c r="E17" s="66">
        <f t="shared" si="2"/>
        <v>2.144009796090085E-15</v>
      </c>
      <c r="F17" s="67">
        <f t="shared" si="3"/>
        <v>34.5</v>
      </c>
      <c r="G17" s="66" t="s">
        <v>1</v>
      </c>
      <c r="H17" s="67" t="s">
        <v>5</v>
      </c>
      <c r="I17" s="66">
        <f>SIN(RADIANS(B27))*$J$4/2</f>
        <v>-1.0000000000000009</v>
      </c>
      <c r="J17" s="67">
        <f>(COS(RADIANS(B27))*$J$4/2)+Tire_Rolling_Radius</f>
        <v>18.732050807568875</v>
      </c>
      <c r="K17" s="187"/>
      <c r="L17" s="66" t="s">
        <v>1</v>
      </c>
      <c r="M17" s="187" t="s">
        <v>0</v>
      </c>
      <c r="N17" s="67"/>
    </row>
    <row r="18" spans="2:14" ht="12.75">
      <c r="B18" s="193">
        <v>195</v>
      </c>
      <c r="C18" s="66">
        <f t="shared" si="0"/>
        <v>105.52933328929412</v>
      </c>
      <c r="D18" s="67">
        <f t="shared" si="1"/>
        <v>33.9037019600587</v>
      </c>
      <c r="E18" s="66">
        <f t="shared" si="2"/>
        <v>-4.529333289294114</v>
      </c>
      <c r="F18" s="67">
        <f t="shared" si="3"/>
        <v>33.9037019600587</v>
      </c>
      <c r="G18" s="66">
        <v>-20</v>
      </c>
      <c r="H18" s="67">
        <f>VectorCalculations!C4</f>
        <v>37.83870967741935</v>
      </c>
      <c r="I18" s="64">
        <f>SIN(RADIANS(B29))*$J$4/2</f>
        <v>-4.90059381963448E-16</v>
      </c>
      <c r="J18" s="65">
        <f>(COS(RADIANS(B29))*$J$4/2)+Tire_Rolling_Radius</f>
        <v>19</v>
      </c>
      <c r="L18" s="66">
        <f>LF_X</f>
        <v>29.5</v>
      </c>
      <c r="M18" s="187">
        <f>LF_Y</f>
        <v>14</v>
      </c>
      <c r="N18" s="67">
        <f>(M18+$M$3)</f>
        <v>94</v>
      </c>
    </row>
    <row r="19" spans="2:14" ht="12.75">
      <c r="B19" s="193">
        <v>210</v>
      </c>
      <c r="C19" s="66">
        <f t="shared" si="0"/>
        <v>109.75</v>
      </c>
      <c r="D19" s="67">
        <f t="shared" si="1"/>
        <v>32.15544456622767</v>
      </c>
      <c r="E19" s="66">
        <f t="shared" si="2"/>
        <v>-8.750000000000002</v>
      </c>
      <c r="F19" s="67">
        <f t="shared" si="3"/>
        <v>32.15544456622767</v>
      </c>
      <c r="G19" s="64">
        <v>120</v>
      </c>
      <c r="H19" s="65">
        <f>VectorCalculations!C4</f>
        <v>37.83870967741935</v>
      </c>
      <c r="L19" s="66">
        <f>LA_X</f>
        <v>3.5</v>
      </c>
      <c r="M19" s="187">
        <f>LA_Y</f>
        <v>19</v>
      </c>
      <c r="N19" s="67">
        <f>(M19+$M$3)</f>
        <v>99</v>
      </c>
    </row>
    <row r="20" spans="2:14" ht="12.75">
      <c r="B20" s="193">
        <v>225</v>
      </c>
      <c r="C20" s="66">
        <f t="shared" si="0"/>
        <v>113.37436867076458</v>
      </c>
      <c r="D20" s="67">
        <f t="shared" si="1"/>
        <v>29.374368670764582</v>
      </c>
      <c r="E20" s="66">
        <f t="shared" si="2"/>
        <v>-12.37436867076458</v>
      </c>
      <c r="F20" s="67">
        <f t="shared" si="3"/>
        <v>29.374368670764582</v>
      </c>
      <c r="G20" s="180" t="s">
        <v>76</v>
      </c>
      <c r="H20" s="181"/>
      <c r="L20" s="66">
        <f>(L18)</f>
        <v>29.5</v>
      </c>
      <c r="M20" s="187">
        <f>(-M18)</f>
        <v>-14</v>
      </c>
      <c r="N20" s="67">
        <f>(M20+$M$3)</f>
        <v>66</v>
      </c>
    </row>
    <row r="21" spans="2:14" ht="12.75">
      <c r="B21" s="193">
        <v>240</v>
      </c>
      <c r="C21" s="66">
        <f t="shared" si="0"/>
        <v>116.15544456622767</v>
      </c>
      <c r="D21" s="67">
        <f t="shared" si="1"/>
        <v>25.750000000000007</v>
      </c>
      <c r="E21" s="66">
        <f t="shared" si="2"/>
        <v>-15.155444566227672</v>
      </c>
      <c r="F21" s="67">
        <f t="shared" si="3"/>
        <v>25.750000000000007</v>
      </c>
      <c r="G21" s="66" t="s">
        <v>1</v>
      </c>
      <c r="H21" s="67" t="s">
        <v>5</v>
      </c>
      <c r="L21" s="64">
        <f>L19</f>
        <v>3.5</v>
      </c>
      <c r="M21" s="189">
        <f>(-M19)</f>
        <v>-19</v>
      </c>
      <c r="N21" s="65">
        <f>(M21+$M$3)</f>
        <v>61</v>
      </c>
    </row>
    <row r="22" spans="2:14" ht="12.75">
      <c r="B22" s="193">
        <v>255</v>
      </c>
      <c r="C22" s="66">
        <f t="shared" si="0"/>
        <v>117.9037019600587</v>
      </c>
      <c r="D22" s="67">
        <f t="shared" si="1"/>
        <v>21.52933328929411</v>
      </c>
      <c r="E22" s="66">
        <f t="shared" si="2"/>
        <v>-16.903701960058694</v>
      </c>
      <c r="F22" s="67">
        <f t="shared" si="3"/>
        <v>21.52933328929411</v>
      </c>
      <c r="G22" s="66">
        <v>0</v>
      </c>
      <c r="H22" s="67">
        <v>0</v>
      </c>
      <c r="L22" s="180" t="s">
        <v>73</v>
      </c>
      <c r="M22" s="188"/>
      <c r="N22" s="181"/>
    </row>
    <row r="23" spans="2:14" ht="12.75">
      <c r="B23" s="193">
        <v>270</v>
      </c>
      <c r="C23" s="66">
        <f t="shared" si="0"/>
        <v>118.5</v>
      </c>
      <c r="D23" s="67">
        <f t="shared" si="1"/>
        <v>17.000000000000004</v>
      </c>
      <c r="E23" s="66">
        <f t="shared" si="2"/>
        <v>-17.5</v>
      </c>
      <c r="F23" s="67">
        <f t="shared" si="3"/>
        <v>17.000000000000004</v>
      </c>
      <c r="G23" s="64">
        <f>Wheelbase</f>
        <v>101</v>
      </c>
      <c r="H23" s="65">
        <f>VectorCalculations!C4</f>
        <v>37.83870967741935</v>
      </c>
      <c r="L23" s="66" t="s">
        <v>1</v>
      </c>
      <c r="M23" s="187" t="s">
        <v>0</v>
      </c>
      <c r="N23" s="67"/>
    </row>
    <row r="24" spans="2:14" ht="12.75">
      <c r="B24" s="193">
        <v>285</v>
      </c>
      <c r="C24" s="66">
        <f t="shared" si="0"/>
        <v>117.9037019600587</v>
      </c>
      <c r="D24" s="67">
        <f t="shared" si="1"/>
        <v>12.470666710705895</v>
      </c>
      <c r="E24" s="66">
        <f t="shared" si="2"/>
        <v>-16.903701960058697</v>
      </c>
      <c r="F24" s="67">
        <f t="shared" si="3"/>
        <v>12.470666710705895</v>
      </c>
      <c r="G24" s="180" t="s">
        <v>79</v>
      </c>
      <c r="H24" s="181"/>
      <c r="L24" s="66">
        <f>L18</f>
        <v>29.5</v>
      </c>
      <c r="M24" s="187">
        <f>M18</f>
        <v>14</v>
      </c>
      <c r="N24" s="67">
        <f>(M24+$M$3)</f>
        <v>94</v>
      </c>
    </row>
    <row r="25" spans="2:14" ht="12.75">
      <c r="B25" s="193">
        <v>300</v>
      </c>
      <c r="C25" s="66">
        <f t="shared" si="0"/>
        <v>116.15544456622767</v>
      </c>
      <c r="D25" s="67">
        <f t="shared" si="1"/>
        <v>8.249999999999998</v>
      </c>
      <c r="E25" s="66">
        <f t="shared" si="2"/>
        <v>-15.155444566227676</v>
      </c>
      <c r="F25" s="67">
        <f t="shared" si="3"/>
        <v>8.249999999999998</v>
      </c>
      <c r="G25" s="66" t="s">
        <v>1</v>
      </c>
      <c r="H25" s="67" t="s">
        <v>5</v>
      </c>
      <c r="L25" s="66">
        <f>IF(VectorCalculations!C25="Parallel",$J$3,VectorCalculations!C25)</f>
        <v>102.3</v>
      </c>
      <c r="M25" s="187">
        <f>IF(L25=J3,M24,VectorCalculations!D13)</f>
        <v>0</v>
      </c>
      <c r="N25" s="67">
        <f>(M25+$M$3)</f>
        <v>80</v>
      </c>
    </row>
    <row r="26" spans="2:14" ht="12.75">
      <c r="B26" s="193">
        <v>315</v>
      </c>
      <c r="C26" s="66">
        <f t="shared" si="0"/>
        <v>113.37436867076458</v>
      </c>
      <c r="D26" s="67">
        <f t="shared" si="1"/>
        <v>4.625631329235421</v>
      </c>
      <c r="E26" s="66">
        <f t="shared" si="2"/>
        <v>-12.374368670764584</v>
      </c>
      <c r="F26" s="67">
        <f t="shared" si="3"/>
        <v>4.625631329235421</v>
      </c>
      <c r="G26" s="187">
        <f>IF(VectorCalculations!C13="Parallel",$J$3,VectorCalculations!C13)</f>
        <v>-16</v>
      </c>
      <c r="H26" s="67">
        <f>IF(VectorCalculations!E23="N/A",VectorCalculations!$C$32*G26+VectorCalculations!$C$33,IF(VectorCalculations!E13="N/A",(Plot!G26*VectorCalculations!C32)+VectorCalculations!C33,VectorCalculations!E13))</f>
        <v>27.4</v>
      </c>
      <c r="L26" s="66">
        <f>IF(VectorCalculations!C25="Parallel",$J$3,VectorCalculations!C25)</f>
        <v>102.3</v>
      </c>
      <c r="M26" s="187">
        <f>IF(L26=J3,M27,VectorCalculations!D13)</f>
        <v>0</v>
      </c>
      <c r="N26" s="67">
        <f>(M26+$M$3)</f>
        <v>80</v>
      </c>
    </row>
    <row r="27" spans="2:14" ht="12.75">
      <c r="B27" s="193">
        <v>330</v>
      </c>
      <c r="C27" s="66">
        <f t="shared" si="0"/>
        <v>109.75</v>
      </c>
      <c r="D27" s="67">
        <f t="shared" si="1"/>
        <v>1.844555433772328</v>
      </c>
      <c r="E27" s="66">
        <f t="shared" si="2"/>
        <v>-8.750000000000007</v>
      </c>
      <c r="F27" s="67">
        <f t="shared" si="3"/>
        <v>1.844555433772328</v>
      </c>
      <c r="G27" s="66">
        <v>0</v>
      </c>
      <c r="H27" s="67">
        <f>VectorCalculations!C33</f>
        <v>26.250380388841926</v>
      </c>
      <c r="L27" s="64">
        <f>L24</f>
        <v>29.5</v>
      </c>
      <c r="M27" s="189">
        <f>-M24</f>
        <v>-14</v>
      </c>
      <c r="N27" s="65">
        <f>(M27+$M$3)</f>
        <v>66</v>
      </c>
    </row>
    <row r="28" spans="2:8" ht="12.75">
      <c r="B28" s="193">
        <v>345</v>
      </c>
      <c r="C28" s="66">
        <f t="shared" si="0"/>
        <v>105.52933328929412</v>
      </c>
      <c r="D28" s="67">
        <f t="shared" si="1"/>
        <v>0.09629803994130626</v>
      </c>
      <c r="E28" s="66">
        <f t="shared" si="2"/>
        <v>-4.529333289294112</v>
      </c>
      <c r="F28" s="67">
        <f t="shared" si="3"/>
        <v>0.09629803994130626</v>
      </c>
      <c r="G28" s="64">
        <f>IF(VectorCalculations!C25="Parallel",$J$3,VectorCalculations!C25)</f>
        <v>102.3</v>
      </c>
      <c r="H28" s="65">
        <f>IF(VectorCalculations!E25="N/A",H6,VectorCalculations!E25)</f>
        <v>18.9</v>
      </c>
    </row>
    <row r="29" spans="2:6" ht="12.75">
      <c r="B29" s="194">
        <v>360</v>
      </c>
      <c r="C29" s="64">
        <f t="shared" si="0"/>
        <v>101</v>
      </c>
      <c r="D29" s="65">
        <f t="shared" si="1"/>
        <v>0</v>
      </c>
      <c r="E29" s="64">
        <f t="shared" si="2"/>
        <v>-4.28801959218017E-15</v>
      </c>
      <c r="F29" s="65">
        <f t="shared" si="3"/>
        <v>0</v>
      </c>
    </row>
  </sheetData>
  <sheetProtection/>
  <hyperlinks>
    <hyperlink ref="P5" r:id="rId1" display="triaged@gmail.com"/>
  </hyperlinks>
  <printOptions/>
  <pageMargins left="0.75" right="0.75" top="1" bottom="1" header="0.5" footer="0.5"/>
  <pageSetup horizontalDpi="300" verticalDpi="300" orientation="portrait" r:id="rId3"/>
  <ignoredErrors>
    <ignoredError sqref="L7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D40"/>
  <sheetViews>
    <sheetView zoomScalePageLayoutView="0" workbookViewId="0" topLeftCell="A5">
      <selection activeCell="D30" sqref="D30:D31"/>
    </sheetView>
  </sheetViews>
  <sheetFormatPr defaultColWidth="9.140625" defaultRowHeight="12.75"/>
  <cols>
    <col min="1" max="1" width="1.421875" style="150" customWidth="1"/>
    <col min="2" max="2" width="8.57421875" style="151" customWidth="1"/>
    <col min="3" max="3" width="71.421875" style="150" customWidth="1"/>
    <col min="4" max="4" width="10.28125" style="151" customWidth="1"/>
    <col min="5" max="16384" width="9.140625" style="150" customWidth="1"/>
  </cols>
  <sheetData>
    <row r="1" ht="20.25">
      <c r="B1" s="80" t="str">
        <f>Main!B1</f>
        <v>4 Bar Linkage Calculator v3.0</v>
      </c>
    </row>
    <row r="2" ht="18">
      <c r="B2" s="152" t="s">
        <v>55</v>
      </c>
    </row>
    <row r="4" spans="2:4" ht="13.5" thickBot="1">
      <c r="B4" s="153" t="s">
        <v>56</v>
      </c>
      <c r="C4" s="154" t="s">
        <v>57</v>
      </c>
      <c r="D4" s="153" t="s">
        <v>58</v>
      </c>
    </row>
    <row r="5" spans="2:4" ht="6.75" customHeight="1">
      <c r="B5" s="155"/>
      <c r="C5" s="156"/>
      <c r="D5" s="155"/>
    </row>
    <row r="6" spans="2:4" ht="12.75">
      <c r="B6" s="157">
        <v>1.5</v>
      </c>
      <c r="C6" s="158" t="s">
        <v>59</v>
      </c>
      <c r="D6" s="159" t="s">
        <v>61</v>
      </c>
    </row>
    <row r="7" spans="2:3" ht="12.75">
      <c r="B7" s="160"/>
      <c r="C7" s="161" t="s">
        <v>60</v>
      </c>
    </row>
    <row r="8" spans="2:3" ht="12.75">
      <c r="B8" s="160"/>
      <c r="C8" s="161" t="s">
        <v>67</v>
      </c>
    </row>
    <row r="9" ht="12.75">
      <c r="C9" s="162"/>
    </row>
    <row r="10" spans="2:4" ht="12.75">
      <c r="B10" s="200">
        <v>2</v>
      </c>
      <c r="C10" s="158" t="s">
        <v>81</v>
      </c>
      <c r="D10" s="159" t="s">
        <v>83</v>
      </c>
    </row>
    <row r="11" spans="2:3" ht="12.75">
      <c r="B11" s="160"/>
      <c r="C11" s="161" t="s">
        <v>82</v>
      </c>
    </row>
    <row r="12" spans="2:4" ht="12.75">
      <c r="B12" s="201"/>
      <c r="C12" s="161" t="s">
        <v>90</v>
      </c>
      <c r="D12" s="150"/>
    </row>
    <row r="13" spans="2:3" ht="12.75">
      <c r="B13" s="201"/>
      <c r="C13" s="161" t="s">
        <v>92</v>
      </c>
    </row>
    <row r="14" spans="2:3" ht="12.75">
      <c r="B14" s="201"/>
      <c r="C14" s="161" t="s">
        <v>91</v>
      </c>
    </row>
    <row r="15" spans="2:3" ht="12.75">
      <c r="B15" s="201"/>
      <c r="C15" s="162"/>
    </row>
    <row r="16" spans="2:4" ht="12.75">
      <c r="B16" s="202">
        <v>3</v>
      </c>
      <c r="C16" s="158" t="s">
        <v>100</v>
      </c>
      <c r="D16" s="159" t="s">
        <v>125</v>
      </c>
    </row>
    <row r="17" spans="2:3" ht="12.75">
      <c r="B17" s="201"/>
      <c r="C17" s="161" t="s">
        <v>101</v>
      </c>
    </row>
    <row r="18" spans="2:3" ht="12.75">
      <c r="B18" s="201"/>
      <c r="C18" s="163" t="s">
        <v>131</v>
      </c>
    </row>
    <row r="19" spans="2:3" ht="12.75">
      <c r="B19" s="201"/>
      <c r="C19" s="161" t="s">
        <v>130</v>
      </c>
    </row>
    <row r="20" spans="2:3" ht="12.75">
      <c r="B20" s="201"/>
      <c r="C20" s="161" t="s">
        <v>133</v>
      </c>
    </row>
    <row r="21" spans="2:3" ht="12.75">
      <c r="B21" s="160"/>
      <c r="C21" s="161" t="s">
        <v>134</v>
      </c>
    </row>
    <row r="22" spans="2:3" ht="12.75">
      <c r="B22" s="160"/>
      <c r="C22" s="161" t="s">
        <v>135</v>
      </c>
    </row>
    <row r="23" spans="2:4" ht="12.75">
      <c r="B23" s="157" t="s">
        <v>140</v>
      </c>
      <c r="C23" s="161" t="s">
        <v>137</v>
      </c>
      <c r="D23" s="207" t="s">
        <v>139</v>
      </c>
    </row>
    <row r="24" spans="2:3" ht="12.75">
      <c r="B24" s="160"/>
      <c r="C24" s="161" t="s">
        <v>138</v>
      </c>
    </row>
    <row r="25" spans="2:4" ht="12.75">
      <c r="B25" s="157">
        <v>3.1</v>
      </c>
      <c r="C25" s="158" t="s">
        <v>183</v>
      </c>
      <c r="D25" s="228" t="s">
        <v>186</v>
      </c>
    </row>
    <row r="26" spans="3:4" ht="12.75">
      <c r="C26" s="161" t="s">
        <v>184</v>
      </c>
      <c r="D26" s="151" t="s">
        <v>187</v>
      </c>
    </row>
    <row r="27" ht="12.75">
      <c r="C27" s="158" t="s">
        <v>185</v>
      </c>
    </row>
    <row r="37" ht="12.75">
      <c r="D37" s="17" t="s">
        <v>129</v>
      </c>
    </row>
    <row r="38" ht="12.75">
      <c r="D38" s="79" t="s">
        <v>41</v>
      </c>
    </row>
    <row r="39" ht="12.75">
      <c r="D39" s="79" t="s">
        <v>66</v>
      </c>
    </row>
    <row r="40" ht="12.75">
      <c r="D40" s="209" t="s">
        <v>143</v>
      </c>
    </row>
  </sheetData>
  <sheetProtection selectLockedCells="1" selectUnlockedCells="1"/>
  <hyperlinks>
    <hyperlink ref="D40" r:id="rId1" display="triaged@gmail.com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2003-12-07T18:56:49Z</cp:lastPrinted>
  <dcterms:created xsi:type="dcterms:W3CDTF">2003-09-04T21:56:31Z</dcterms:created>
  <dcterms:modified xsi:type="dcterms:W3CDTF">2011-04-06T14:09:16Z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-928276553</vt:i4>
  </property>
  <property fmtid="{D5CDD505-2E9C-101B-9397-08002B2CF9AE}" pid="3" name="_NewReviewCycle">
    <vt:lpwstr/>
  </property>
</Properties>
</file>