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90" windowWidth="8880" windowHeight="10560" activeTab="0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<sst xmlns="http://schemas.openxmlformats.org/spreadsheetml/2006/main" count="516" uniqueCount="195">
  <si>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</si>
  <si>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</si>
  <si>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</si>
  <si>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</si>
  <si>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</si>
  <si>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</si>
  <si>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</si>
  <si>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</si>
  <si>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</si>
  <si>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</si>
  <si>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</si>
  <si>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</si>
  <si>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</si>
  <si>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</si>
  <si>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</si>
  <si>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</si>
  <si>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</si>
  <si>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</si>
  <si>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</si>
  <si>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</si>
  <si>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</si>
  <si>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</si>
  <si>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</si>
  <si>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</si>
  <si>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</si>
  <si>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</si>
  <si>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</si>
  <si>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</si>
  <si>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</si>
  <si>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</si>
  <si>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</si>
  <si>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</si>
  <si>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</si>
  <si>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</si>
  <si>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</si>
  <si>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</si>
  <si>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</si>
  <si>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</si>
  <si>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</si>
  <si>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</si>
  <si>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</si>
  <si>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</si>
  <si>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</si>
  <si>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</si>
  <si>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</si>
  <si>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</si>
  <si>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</si>
  <si>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</si>
  <si>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</si>
  <si>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</si>
  <si>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</si>
  <si>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</si>
  <si>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</si>
  <si>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</si>
  <si>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</si>
  <si>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</si>
  <si>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</si>
  <si>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</si>
  <si>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</si>
  <si>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</si>
  <si>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</si>
  <si>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</si>
  <si>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</si>
  <si>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</si>
  <si>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</si>
  <si>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</si>
  <si>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</si>
  <si>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</si>
  <si>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</si>
  <si>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</si>
  <si>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</si>
  <si>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</si>
  <si>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</si>
  <si>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</si>
  <si>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</si>
  <si>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</si>
  <si>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</si>
  <si>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</si>
  <si>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</si>
  <si>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</si>
  <si>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</si>
  <si>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</si>
  <si>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</si>
  <si>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</si>
  <si>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</si>
  <si>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</si>
  <si>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</si>
  <si>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</si>
  <si>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</si>
  <si>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</si>
  <si>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</si>
  <si>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</si>
  <si>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</si>
  <si>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</si>
  <si>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</si>
  <si>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</si>
  <si>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</si>
  <si>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</si>
  <si>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</si>
  <si>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</si>
  <si>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</si>
  <si>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</si>
  <si>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</si>
  <si>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</si>
  <si>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</si>
  <si>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</si>
  <si>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</si>
  <si>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</si>
  <si>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</si>
  <si>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</si>
  <si>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</si>
  <si>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</si>
  <si>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</si>
  <si>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</si>
  <si>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</si>
  <si>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</si>
  <si>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</si>
  <si>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</si>
  <si>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</si>
  <si>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</si>
  <si>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</si>
  <si>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</si>
  <si>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</si>
  <si>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</si>
  <si>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</si>
  <si>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</si>
  <si>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</si>
  <si>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</si>
  <si>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</si>
  <si>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</si>
  <si>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</si>
  <si>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</si>
  <si>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</si>
  <si>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</si>
  <si>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</si>
  <si>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</si>
  <si>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</si>
  <si>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</si>
  <si>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</si>
  <si>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</si>
  <si>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</si>
  <si>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</si>
  <si>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</si>
  <si>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</si>
  <si>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</si>
  <si>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</si>
  <si>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</si>
  <si>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</si>
  <si>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</si>
  <si>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</si>
  <si>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</si>
  <si>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</si>
  <si>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</si>
  <si>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</si>
  <si>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</si>
  <si>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</si>
  <si>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</si>
  <si>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</si>
  <si>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</si>
  <si>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</si>
  <si>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</si>
  <si>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</si>
  <si>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</si>
  <si>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</si>
  <si>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</si>
  <si>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</si>
  <si>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</si>
  <si>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</si>
  <si>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</si>
  <si>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</si>
  <si>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</si>
  <si>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</si>
  <si>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</si>
  <si>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</si>
  <si>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</si>
  <si>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</si>
  <si>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</si>
  <si>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</si>
  <si>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</si>
  <si>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</si>
  <si>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</si>
  <si>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</si>
  <si>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</si>
  <si>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</si>
  <si>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</si>
  <si>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</si>
  <si>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</si>
  <si>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</si>
  <si>
    <t>Link Information</t>
  </si>
  <si>
    <t>Upper Length</t>
  </si>
  <si>
    <t>Lower Length</t>
  </si>
  <si>
    <t>Combined Angle</t>
  </si>
  <si>
    <t>Total Lower Angle</t>
  </si>
  <si>
    <t>Total Upper Angle</t>
  </si>
  <si>
    <t>Axle Vert Separation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</si>
</sst>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60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25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8"/>
      <color indexed="8"/>
      <name val="Verdana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20.7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170" fontId="0" fillId="33" borderId="1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15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0" fillId="34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12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166" fontId="0" fillId="0" borderId="11" xfId="0" applyNumberFormat="1" applyFont="1" applyFill="1" applyBorder="1" applyAlignment="1" applyProtection="1">
      <alignment horizontal="right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left"/>
      <protection/>
    </xf>
    <xf numFmtId="4" fontId="0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0" fillId="35" borderId="16" xfId="0" applyNumberFormat="1" applyFont="1" applyFill="1" applyBorder="1" applyAlignment="1" applyProtection="1">
      <alignment horizontal="right"/>
      <protection/>
    </xf>
    <xf numFmtId="166" fontId="0" fillId="0" borderId="17" xfId="0" applyNumberFormat="1" applyFont="1" applyFill="1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 horizontal="left"/>
      <protection/>
    </xf>
    <xf numFmtId="4" fontId="0" fillId="0" borderId="12" xfId="0" applyNumberFormat="1" applyFont="1" applyFill="1" applyBorder="1" applyAlignment="1" applyProtection="1" quotePrefix="1">
      <alignment horizontal="right"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10" fillId="36" borderId="16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166" fontId="0" fillId="0" borderId="18" xfId="0" applyNumberFormat="1" applyFont="1" applyFill="1" applyBorder="1" applyAlignment="1" applyProtection="1">
      <alignment horizontal="left"/>
      <protection/>
    </xf>
    <xf numFmtId="4" fontId="10" fillId="36" borderId="14" xfId="0" applyNumberFormat="1" applyFont="1" applyFill="1" applyBorder="1" applyAlignment="1" applyProtection="1">
      <alignment horizontal="right"/>
      <protection/>
    </xf>
    <xf numFmtId="3" fontId="0" fillId="37" borderId="18" xfId="0" applyNumberFormat="1" applyFont="1" applyFill="1" applyBorder="1" applyAlignment="1" applyProtection="1">
      <alignment horizontal="right"/>
      <protection/>
    </xf>
    <xf numFmtId="3" fontId="0" fillId="37" borderId="0" xfId="0" applyNumberFormat="1" applyFont="1" applyFill="1" applyBorder="1" applyAlignment="1" applyProtection="1">
      <alignment horizontal="right"/>
      <protection/>
    </xf>
    <xf numFmtId="166" fontId="0" fillId="37" borderId="1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left" wrapText="1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center"/>
      <protection/>
    </xf>
    <xf numFmtId="4" fontId="0" fillId="0" borderId="17" xfId="0" applyNumberFormat="1" applyFont="1" applyBorder="1" applyAlignment="1" applyProtection="1">
      <alignment horizontal="left"/>
      <protection/>
    </xf>
    <xf numFmtId="3" fontId="0" fillId="37" borderId="10" xfId="0" applyNumberFormat="1" applyFont="1" applyFill="1" applyBorder="1" applyAlignment="1" applyProtection="1">
      <alignment horizontal="right"/>
      <protection/>
    </xf>
    <xf numFmtId="2" fontId="0" fillId="34" borderId="15" xfId="0" applyNumberFormat="1" applyFill="1" applyBorder="1" applyAlignment="1">
      <alignment horizontal="left"/>
    </xf>
    <xf numFmtId="2" fontId="0" fillId="34" borderId="13" xfId="0" applyNumberFormat="1" applyFill="1" applyBorder="1" applyAlignment="1">
      <alignment horizontal="left"/>
    </xf>
    <xf numFmtId="2" fontId="0" fillId="34" borderId="14" xfId="0" applyNumberFormat="1" applyFill="1" applyBorder="1" applyAlignment="1">
      <alignment horizontal="left"/>
    </xf>
    <xf numFmtId="2" fontId="0" fillId="34" borderId="12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37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horizontal="right"/>
      <protection/>
    </xf>
    <xf numFmtId="171" fontId="0" fillId="33" borderId="18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3" fontId="0" fillId="38" borderId="18" xfId="0" applyNumberFormat="1" applyFont="1" applyFill="1" applyBorder="1" applyAlignment="1" applyProtection="1">
      <alignment/>
      <protection/>
    </xf>
    <xf numFmtId="3" fontId="0" fillId="39" borderId="0" xfId="0" applyNumberFormat="1" applyFont="1" applyFill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right"/>
      <protection/>
    </xf>
    <xf numFmtId="4" fontId="0" fillId="34" borderId="0" xfId="0" applyNumberFormat="1" applyFont="1" applyFill="1" applyBorder="1" applyAlignment="1" applyProtection="1">
      <alignment horizontal="center"/>
      <protection/>
    </xf>
    <xf numFmtId="4" fontId="5" fillId="34" borderId="0" xfId="0" applyNumberFormat="1" applyFont="1" applyFill="1" applyBorder="1" applyAlignment="1" applyProtection="1">
      <alignment horizontal="left"/>
      <protection/>
    </xf>
    <xf numFmtId="165" fontId="0" fillId="0" borderId="18" xfId="0" applyNumberFormat="1" applyFont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0" fillId="35" borderId="16" xfId="0" applyNumberFormat="1" applyFont="1" applyFill="1" applyBorder="1" applyAlignment="1" applyProtection="1">
      <alignment horizontal="right"/>
      <protection/>
    </xf>
    <xf numFmtId="165" fontId="0" fillId="0" borderId="17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Border="1" applyAlignment="1" applyProtection="1">
      <alignment horizontal="left"/>
      <protection/>
    </xf>
    <xf numFmtId="165" fontId="0" fillId="0" borderId="14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14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12" xfId="0" applyNumberFormat="1" applyFont="1" applyBorder="1" applyAlignment="1" applyProtection="1">
      <alignment/>
      <protection/>
    </xf>
    <xf numFmtId="165" fontId="10" fillId="36" borderId="14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165" fontId="0" fillId="0" borderId="11" xfId="0" applyNumberFormat="1" applyFont="1" applyBorder="1" applyAlignment="1" applyProtection="1">
      <alignment/>
      <protection/>
    </xf>
    <xf numFmtId="165" fontId="0" fillId="0" borderId="13" xfId="0" applyNumberFormat="1" applyFont="1" applyBorder="1" applyAlignment="1" applyProtection="1">
      <alignment/>
      <protection/>
    </xf>
    <xf numFmtId="165" fontId="0" fillId="0" borderId="15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66" fontId="0" fillId="0" borderId="11" xfId="0" applyNumberFormat="1" applyFont="1" applyFill="1" applyBorder="1" applyAlignment="1" applyProtection="1">
      <alignment horizontal="left"/>
      <protection/>
    </xf>
    <xf numFmtId="165" fontId="0" fillId="37" borderId="0" xfId="0" applyNumberFormat="1" applyFont="1" applyFill="1" applyBorder="1" applyAlignment="1" applyProtection="1">
      <alignment/>
      <protection/>
    </xf>
    <xf numFmtId="165" fontId="0" fillId="37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15" xfId="0" applyNumberFormat="1" applyFont="1" applyFill="1" applyBorder="1" applyAlignment="1" applyProtection="1">
      <alignment horizontal="right"/>
      <protection/>
    </xf>
    <xf numFmtId="165" fontId="0" fillId="0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right"/>
      <protection/>
    </xf>
    <xf numFmtId="165" fontId="0" fillId="0" borderId="13" xfId="0" applyNumberFormat="1" applyFont="1" applyBorder="1" applyAlignment="1" applyProtection="1">
      <alignment horizontal="left"/>
      <protection/>
    </xf>
    <xf numFmtId="165" fontId="10" fillId="36" borderId="16" xfId="0" applyNumberFormat="1" applyFont="1" applyFill="1" applyBorder="1" applyAlignment="1" applyProtection="1">
      <alignment horizontal="right"/>
      <protection/>
    </xf>
    <xf numFmtId="165" fontId="0" fillId="0" borderId="16" xfId="0" applyNumberFormat="1" applyFont="1" applyBorder="1" applyAlignment="1" applyProtection="1">
      <alignment horizontal="right"/>
      <protection/>
    </xf>
    <xf numFmtId="165" fontId="0" fillId="0" borderId="18" xfId="0" applyNumberFormat="1" applyFont="1" applyFill="1" applyBorder="1" applyAlignment="1" applyProtection="1">
      <alignment/>
      <protection/>
    </xf>
    <xf numFmtId="165" fontId="0" fillId="0" borderId="18" xfId="0" applyNumberFormat="1" applyFont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/>
      <protection/>
    </xf>
    <xf numFmtId="166" fontId="0" fillId="0" borderId="11" xfId="0" applyNumberFormat="1" applyFont="1" applyFill="1" applyBorder="1" applyAlignment="1" applyProtection="1">
      <alignment/>
      <protection/>
    </xf>
    <xf numFmtId="166" fontId="0" fillId="0" borderId="13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/>
      <protection/>
    </xf>
    <xf numFmtId="165" fontId="0" fillId="37" borderId="10" xfId="0" applyNumberFormat="1" applyFont="1" applyFill="1" applyBorder="1" applyAlignment="1" applyProtection="1">
      <alignment horizontal="center"/>
      <protection/>
    </xf>
    <xf numFmtId="165" fontId="0" fillId="0" borderId="10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 locked="0"/>
    </xf>
    <xf numFmtId="173" fontId="0" fillId="33" borderId="0" xfId="42" applyNumberFormat="1" applyFont="1" applyFill="1" applyBorder="1" applyAlignment="1" applyProtection="1">
      <alignment/>
      <protection locked="0"/>
    </xf>
    <xf numFmtId="166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4" fontId="0" fillId="33" borderId="15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2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7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0" xfId="0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3" fontId="0" fillId="37" borderId="14" xfId="0" applyNumberFormat="1" applyFont="1" applyFill="1" applyBorder="1" applyAlignment="1" applyProtection="1">
      <alignment horizontal="right"/>
      <protection/>
    </xf>
    <xf numFmtId="174" fontId="0" fillId="0" borderId="14" xfId="0" applyNumberFormat="1" applyFont="1" applyFill="1" applyBorder="1" applyAlignment="1" applyProtection="1">
      <alignment horizontal="right"/>
      <protection/>
    </xf>
    <xf numFmtId="170" fontId="0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65" fontId="0" fillId="0" borderId="12" xfId="0" applyNumberFormat="1" applyFont="1" applyFill="1" applyBorder="1" applyAlignment="1" applyProtection="1">
      <alignment horizontal="left"/>
      <protection/>
    </xf>
    <xf numFmtId="2" fontId="0" fillId="34" borderId="0" xfId="0" applyNumberFormat="1" applyFill="1" applyAlignment="1">
      <alignment horizontal="left"/>
    </xf>
    <xf numFmtId="2" fontId="2" fillId="34" borderId="23" xfId="0" applyNumberFormat="1" applyFont="1" applyFill="1" applyBorder="1" applyAlignment="1">
      <alignment horizontal="left"/>
    </xf>
    <xf numFmtId="2" fontId="2" fillId="34" borderId="22" xfId="0" applyNumberFormat="1" applyFont="1" applyFill="1" applyBorder="1" applyAlignment="1">
      <alignment horizontal="left"/>
    </xf>
    <xf numFmtId="2" fontId="2" fillId="34" borderId="24" xfId="0" applyNumberFormat="1" applyFont="1" applyFill="1" applyBorder="1" applyAlignment="1">
      <alignment horizontal="left"/>
    </xf>
    <xf numFmtId="2" fontId="2" fillId="34" borderId="25" xfId="0" applyNumberFormat="1" applyFont="1" applyFill="1" applyBorder="1" applyAlignment="1">
      <alignment horizontal="left"/>
    </xf>
    <xf numFmtId="2" fontId="2" fillId="34" borderId="0" xfId="0" applyNumberFormat="1" applyFont="1" applyFill="1" applyAlignment="1">
      <alignment horizontal="left"/>
    </xf>
    <xf numFmtId="2" fontId="0" fillId="34" borderId="0" xfId="0" applyNumberFormat="1" applyFont="1" applyFill="1" applyBorder="1" applyAlignment="1" applyProtection="1">
      <alignment horizontal="center"/>
      <protection/>
    </xf>
    <xf numFmtId="2" fontId="12" fillId="34" borderId="0" xfId="0" applyNumberFormat="1" applyFont="1" applyFill="1" applyAlignment="1">
      <alignment horizontal="left" wrapText="1"/>
    </xf>
    <xf numFmtId="2" fontId="0" fillId="34" borderId="16" xfId="0" applyNumberFormat="1" applyFill="1" applyBorder="1" applyAlignment="1">
      <alignment horizontal="left"/>
    </xf>
    <xf numFmtId="2" fontId="0" fillId="34" borderId="17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4" borderId="23" xfId="0" applyNumberFormat="1" applyFill="1" applyBorder="1" applyAlignment="1">
      <alignment horizontal="left"/>
    </xf>
    <xf numFmtId="2" fontId="0" fillId="33" borderId="22" xfId="0" applyNumberFormat="1" applyFill="1" applyBorder="1" applyAlignment="1" applyProtection="1">
      <alignment horizontal="left"/>
      <protection locked="0"/>
    </xf>
    <xf numFmtId="2" fontId="0" fillId="34" borderId="24" xfId="0" applyNumberFormat="1" applyFill="1" applyBorder="1" applyAlignment="1">
      <alignment horizontal="left"/>
    </xf>
    <xf numFmtId="2" fontId="0" fillId="33" borderId="17" xfId="0" applyNumberFormat="1" applyFill="1" applyBorder="1" applyAlignment="1" applyProtection="1">
      <alignment horizontal="left"/>
      <protection locked="0"/>
    </xf>
    <xf numFmtId="2" fontId="0" fillId="34" borderId="0" xfId="0" applyNumberFormat="1" applyFill="1" applyBorder="1" applyAlignment="1">
      <alignment horizontal="left"/>
    </xf>
    <xf numFmtId="2" fontId="0" fillId="34" borderId="18" xfId="0" applyNumberFormat="1" applyFill="1" applyBorder="1" applyAlignment="1">
      <alignment horizontal="left"/>
    </xf>
    <xf numFmtId="2" fontId="0" fillId="34" borderId="11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4" borderId="23" xfId="0" applyNumberFormat="1" applyFont="1" applyFill="1" applyBorder="1" applyAlignment="1">
      <alignment horizontal="left"/>
    </xf>
    <xf numFmtId="1" fontId="0" fillId="34" borderId="19" xfId="0" applyNumberFormat="1" applyFill="1" applyBorder="1" applyAlignment="1">
      <alignment horizontal="left"/>
    </xf>
    <xf numFmtId="1" fontId="0" fillId="34" borderId="25" xfId="0" applyNumberFormat="1" applyFill="1" applyBorder="1" applyAlignment="1">
      <alignment horizontal="left"/>
    </xf>
    <xf numFmtId="1" fontId="0" fillId="34" borderId="20" xfId="0" applyNumberFormat="1" applyFill="1" applyBorder="1" applyAlignment="1">
      <alignment horizontal="left"/>
    </xf>
    <xf numFmtId="1" fontId="0" fillId="34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37" borderId="0" xfId="0" applyNumberFormat="1" applyFont="1" applyFill="1" applyBorder="1" applyAlignment="1" applyProtection="1">
      <alignment/>
      <protection/>
    </xf>
    <xf numFmtId="164" fontId="2" fillId="34" borderId="11" xfId="0" applyNumberFormat="1" applyFont="1" applyFill="1" applyBorder="1" applyAlignment="1" applyProtection="1" quotePrefix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164" fontId="2" fillId="34" borderId="11" xfId="0" applyNumberFormat="1" applyFont="1" applyFill="1" applyBorder="1" applyAlignment="1" applyProtection="1">
      <alignment horizontal="left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 horizontal="left"/>
      <protection locked="0"/>
    </xf>
    <xf numFmtId="165" fontId="0" fillId="0" borderId="10" xfId="0" applyNumberFormat="1" applyFont="1" applyFill="1" applyBorder="1" applyAlignment="1" applyProtection="1">
      <alignment horizontal="right"/>
      <protection/>
    </xf>
    <xf numFmtId="4" fontId="0" fillId="34" borderId="11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Alignment="1" applyProtection="1">
      <alignment horizontal="right"/>
      <protection/>
    </xf>
    <xf numFmtId="4" fontId="13" fillId="0" borderId="0" xfId="53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 applyProtection="1">
      <alignment horizontal="right"/>
      <protection/>
    </xf>
    <xf numFmtId="165" fontId="0" fillId="0" borderId="18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4" borderId="25" xfId="0" applyNumberFormat="1" applyFill="1" applyBorder="1" applyAlignment="1">
      <alignment horizontal="left"/>
    </xf>
    <xf numFmtId="4" fontId="0" fillId="0" borderId="10" xfId="0" applyNumberFormat="1" applyFont="1" applyBorder="1" applyAlignment="1" applyProtection="1">
      <alignment/>
      <protection/>
    </xf>
    <xf numFmtId="165" fontId="0" fillId="34" borderId="0" xfId="0" applyNumberFormat="1" applyFill="1" applyAlignment="1">
      <alignment horizontal="left"/>
    </xf>
    <xf numFmtId="4" fontId="0" fillId="40" borderId="0" xfId="0" applyNumberFormat="1" applyFont="1" applyFill="1" applyBorder="1" applyAlignment="1" applyProtection="1">
      <alignment horizontal="right"/>
      <protection/>
    </xf>
    <xf numFmtId="4" fontId="0" fillId="40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right"/>
      <protection/>
    </xf>
    <xf numFmtId="166" fontId="0" fillId="0" borderId="18" xfId="0" applyNumberFormat="1" applyFont="1" applyFill="1" applyBorder="1" applyAlignment="1" applyProtection="1">
      <alignment horizontal="right"/>
      <protection/>
    </xf>
    <xf numFmtId="9" fontId="0" fillId="38" borderId="17" xfId="0" applyNumberFormat="1" applyFont="1" applyFill="1" applyBorder="1" applyAlignment="1" applyProtection="1">
      <alignment/>
      <protection/>
    </xf>
    <xf numFmtId="4" fontId="0" fillId="40" borderId="12" xfId="0" applyNumberFormat="1" applyFont="1" applyFill="1" applyBorder="1" applyAlignment="1" applyProtection="1">
      <alignment/>
      <protection/>
    </xf>
    <xf numFmtId="4" fontId="0" fillId="37" borderId="12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183" fontId="0" fillId="40" borderId="12" xfId="0" applyNumberFormat="1" applyFont="1" applyFill="1" applyBorder="1" applyAlignment="1" applyProtection="1">
      <alignment/>
      <protection/>
    </xf>
    <xf numFmtId="183" fontId="0" fillId="39" borderId="12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 wrapText="1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0" fillId="38" borderId="0" xfId="0" applyNumberFormat="1" applyFont="1" applyFill="1" applyBorder="1" applyAlignment="1" applyProtection="1">
      <alignment/>
      <protection/>
    </xf>
    <xf numFmtId="4" fontId="2" fillId="39" borderId="0" xfId="0" applyNumberFormat="1" applyFont="1" applyFill="1" applyBorder="1" applyAlignment="1" applyProtection="1">
      <alignment/>
      <protection/>
    </xf>
    <xf numFmtId="4" fontId="2" fillId="41" borderId="0" xfId="0" applyNumberFormat="1" applyFont="1" applyFill="1" applyBorder="1" applyAlignment="1" applyProtection="1">
      <alignment horizontal="center"/>
      <protection locked="0"/>
    </xf>
    <xf numFmtId="4" fontId="0" fillId="42" borderId="0" xfId="0" applyNumberFormat="1" applyFont="1" applyFill="1" applyBorder="1" applyAlignment="1" applyProtection="1">
      <alignment/>
      <protection/>
    </xf>
    <xf numFmtId="4" fontId="2" fillId="42" borderId="0" xfId="0" applyNumberFormat="1" applyFont="1" applyFill="1" applyBorder="1" applyAlignment="1" applyProtection="1">
      <alignment/>
      <protection/>
    </xf>
    <xf numFmtId="165" fontId="2" fillId="0" borderId="10" xfId="0" applyNumberFormat="1" applyFont="1" applyFill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11" xfId="0" applyNumberFormat="1" applyFont="1" applyBorder="1" applyAlignment="1" applyProtection="1">
      <alignment horizontal="left"/>
      <protection/>
    </xf>
    <xf numFmtId="165" fontId="3" fillId="0" borderId="22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14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Fill="1" applyBorder="1" applyAlignment="1" applyProtection="1">
      <alignment horizontal="left"/>
      <protection/>
    </xf>
    <xf numFmtId="4" fontId="3" fillId="0" borderId="14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165" fontId="3" fillId="0" borderId="14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625"/>
          <c:h val="0.97325"/>
        </c:manualLayout>
      </c:layout>
      <c:scatterChart>
        <c:scatterStyle val="lineMarker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29.5</c:v>
                </c:pt>
                <c:pt idx="1">
                  <c:v>3.5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92</c:v>
                </c:pt>
                <c:pt idx="1">
                  <c:v>96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29.5</c:v>
                </c:pt>
                <c:pt idx="1">
                  <c:v>3.5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68</c:v>
                </c:pt>
                <c:pt idx="1">
                  <c:v>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68</c:v>
                </c:pt>
                <c:pt idx="1">
                  <c:v>73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92</c:v>
                </c:pt>
                <c:pt idx="1">
                  <c:v>87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-28</c:v>
                </c:pt>
                <c:pt idx="2">
                  <c:v>-28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87</c:v>
                </c:pt>
                <c:pt idx="1">
                  <c:v>80</c:v>
                </c:pt>
                <c:pt idx="2">
                  <c:v>80</c:v>
                </c:pt>
                <c:pt idx="3">
                  <c:v>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29.5</c:v>
                </c:pt>
                <c:pt idx="1">
                  <c:v>107.5</c:v>
                </c:pt>
                <c:pt idx="2">
                  <c:v>107.5</c:v>
                </c:pt>
                <c:pt idx="3">
                  <c:v>29.5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92</c:v>
                </c:pt>
                <c:pt idx="1">
                  <c:v>80</c:v>
                </c:pt>
                <c:pt idx="2">
                  <c:v>80</c:v>
                </c:pt>
                <c:pt idx="3">
                  <c:v>68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100</c:v>
                </c:pt>
                <c:pt idx="1">
                  <c:v>95.47066671070588</c:v>
                </c:pt>
                <c:pt idx="2">
                  <c:v>91.25</c:v>
                </c:pt>
                <c:pt idx="3">
                  <c:v>87.62563132923542</c:v>
                </c:pt>
                <c:pt idx="4">
                  <c:v>84.84455543377233</c:v>
                </c:pt>
                <c:pt idx="5">
                  <c:v>83.0962980399413</c:v>
                </c:pt>
                <c:pt idx="6">
                  <c:v>82.5</c:v>
                </c:pt>
                <c:pt idx="7">
                  <c:v>83.0962980399413</c:v>
                </c:pt>
                <c:pt idx="8">
                  <c:v>84.84455543377233</c:v>
                </c:pt>
                <c:pt idx="9">
                  <c:v>87.62563132923542</c:v>
                </c:pt>
                <c:pt idx="10">
                  <c:v>91.25</c:v>
                </c:pt>
                <c:pt idx="11">
                  <c:v>95.47066671070588</c:v>
                </c:pt>
                <c:pt idx="12">
                  <c:v>100</c:v>
                </c:pt>
                <c:pt idx="13">
                  <c:v>104.52933328929412</c:v>
                </c:pt>
                <c:pt idx="14">
                  <c:v>108.75</c:v>
                </c:pt>
                <c:pt idx="15">
                  <c:v>112.37436867076458</c:v>
                </c:pt>
                <c:pt idx="16">
                  <c:v>115.15544456622767</c:v>
                </c:pt>
                <c:pt idx="17">
                  <c:v>116.9037019600587</c:v>
                </c:pt>
                <c:pt idx="18">
                  <c:v>117.5</c:v>
                </c:pt>
                <c:pt idx="19">
                  <c:v>116.9037019600587</c:v>
                </c:pt>
                <c:pt idx="20">
                  <c:v>115.15544456622767</c:v>
                </c:pt>
                <c:pt idx="21">
                  <c:v>112.37436867076458</c:v>
                </c:pt>
                <c:pt idx="22">
                  <c:v>108.75</c:v>
                </c:pt>
                <c:pt idx="23">
                  <c:v>104.52933328929412</c:v>
                </c:pt>
                <c:pt idx="24">
                  <c:v>100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0.5962980399413063</c:v>
                </c:pt>
                <c:pt idx="2">
                  <c:v>2.3445554337723227</c:v>
                </c:pt>
                <c:pt idx="3">
                  <c:v>5.125631329235418</c:v>
                </c:pt>
                <c:pt idx="4">
                  <c:v>8.749999999999998</c:v>
                </c:pt>
                <c:pt idx="5">
                  <c:v>12.970666710705887</c:v>
                </c:pt>
                <c:pt idx="6">
                  <c:v>17.5</c:v>
                </c:pt>
                <c:pt idx="7">
                  <c:v>22.029333289294115</c:v>
                </c:pt>
                <c:pt idx="8">
                  <c:v>26.249999999999996</c:v>
                </c:pt>
                <c:pt idx="9">
                  <c:v>29.874368670764582</c:v>
                </c:pt>
                <c:pt idx="10">
                  <c:v>32.65544456622768</c:v>
                </c:pt>
                <c:pt idx="11">
                  <c:v>34.4037019600587</c:v>
                </c:pt>
                <c:pt idx="12">
                  <c:v>35</c:v>
                </c:pt>
                <c:pt idx="13">
                  <c:v>34.4037019600587</c:v>
                </c:pt>
                <c:pt idx="14">
                  <c:v>32.65544456622767</c:v>
                </c:pt>
                <c:pt idx="15">
                  <c:v>29.874368670764582</c:v>
                </c:pt>
                <c:pt idx="16">
                  <c:v>26.250000000000007</c:v>
                </c:pt>
                <c:pt idx="17">
                  <c:v>22.02933328929411</c:v>
                </c:pt>
                <c:pt idx="18">
                  <c:v>17.500000000000004</c:v>
                </c:pt>
                <c:pt idx="19">
                  <c:v>12.970666710705895</c:v>
                </c:pt>
                <c:pt idx="20">
                  <c:v>8.749999999999998</c:v>
                </c:pt>
                <c:pt idx="21">
                  <c:v>5.125631329235421</c:v>
                </c:pt>
                <c:pt idx="22">
                  <c:v>2.344555433772328</c:v>
                </c:pt>
                <c:pt idx="23">
                  <c:v>0.5962980399413063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4.529333289294113</c:v>
                </c:pt>
                <c:pt idx="2">
                  <c:v>8.749999999999998</c:v>
                </c:pt>
                <c:pt idx="3">
                  <c:v>12.37436867076458</c:v>
                </c:pt>
                <c:pt idx="4">
                  <c:v>15.155444566227676</c:v>
                </c:pt>
                <c:pt idx="5">
                  <c:v>16.903701960058694</c:v>
                </c:pt>
                <c:pt idx="6">
                  <c:v>17.5</c:v>
                </c:pt>
                <c:pt idx="7">
                  <c:v>16.903701960058694</c:v>
                </c:pt>
                <c:pt idx="8">
                  <c:v>15.155444566227677</c:v>
                </c:pt>
                <c:pt idx="9">
                  <c:v>12.374368670764582</c:v>
                </c:pt>
                <c:pt idx="10">
                  <c:v>8.749999999999998</c:v>
                </c:pt>
                <c:pt idx="11">
                  <c:v>4.529333289294118</c:v>
                </c:pt>
                <c:pt idx="12">
                  <c:v>2.144009796090085E-15</c:v>
                </c:pt>
                <c:pt idx="13">
                  <c:v>-4.529333289294114</c:v>
                </c:pt>
                <c:pt idx="14">
                  <c:v>-8.750000000000002</c:v>
                </c:pt>
                <c:pt idx="15">
                  <c:v>-12.37436867076458</c:v>
                </c:pt>
                <c:pt idx="16">
                  <c:v>-15.155444566227672</c:v>
                </c:pt>
                <c:pt idx="17">
                  <c:v>-16.903701960058694</c:v>
                </c:pt>
                <c:pt idx="18">
                  <c:v>-17.5</c:v>
                </c:pt>
                <c:pt idx="19">
                  <c:v>-16.903701960058697</c:v>
                </c:pt>
                <c:pt idx="20">
                  <c:v>-15.155444566227676</c:v>
                </c:pt>
                <c:pt idx="21">
                  <c:v>-12.374368670764584</c:v>
                </c:pt>
                <c:pt idx="22">
                  <c:v>-8.750000000000007</c:v>
                </c:pt>
                <c:pt idx="23">
                  <c:v>-4.529333289294112</c:v>
                </c:pt>
                <c:pt idx="24">
                  <c:v>-4.28801959218017E-15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0.5962980399413063</c:v>
                </c:pt>
                <c:pt idx="2">
                  <c:v>2.3445554337723227</c:v>
                </c:pt>
                <c:pt idx="3">
                  <c:v>5.125631329235418</c:v>
                </c:pt>
                <c:pt idx="4">
                  <c:v>8.749999999999998</c:v>
                </c:pt>
                <c:pt idx="5">
                  <c:v>12.970666710705887</c:v>
                </c:pt>
                <c:pt idx="6">
                  <c:v>17.5</c:v>
                </c:pt>
                <c:pt idx="7">
                  <c:v>22.029333289294115</c:v>
                </c:pt>
                <c:pt idx="8">
                  <c:v>26.249999999999996</c:v>
                </c:pt>
                <c:pt idx="9">
                  <c:v>29.874368670764582</c:v>
                </c:pt>
                <c:pt idx="10">
                  <c:v>32.65544456622768</c:v>
                </c:pt>
                <c:pt idx="11">
                  <c:v>34.4037019600587</c:v>
                </c:pt>
                <c:pt idx="12">
                  <c:v>35</c:v>
                </c:pt>
                <c:pt idx="13">
                  <c:v>34.4037019600587</c:v>
                </c:pt>
                <c:pt idx="14">
                  <c:v>32.65544456622767</c:v>
                </c:pt>
                <c:pt idx="15">
                  <c:v>29.874368670764582</c:v>
                </c:pt>
                <c:pt idx="16">
                  <c:v>26.250000000000007</c:v>
                </c:pt>
                <c:pt idx="17">
                  <c:v>22.02933328929411</c:v>
                </c:pt>
                <c:pt idx="18">
                  <c:v>17.500000000000004</c:v>
                </c:pt>
                <c:pt idx="19">
                  <c:v>12.970666710705895</c:v>
                </c:pt>
                <c:pt idx="20">
                  <c:v>8.749999999999998</c:v>
                </c:pt>
                <c:pt idx="21">
                  <c:v>5.125631329235421</c:v>
                </c:pt>
                <c:pt idx="22">
                  <c:v>2.344555433772328</c:v>
                </c:pt>
                <c:pt idx="23">
                  <c:v>0.5962980399413063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/>
            </c:numRef>
          </c:xVal>
          <c:yVal>
            <c:numRef>
              <c:f>Main!$I$4:$I$5</c:f>
              <c:numCache/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/>
            </c:numRef>
          </c:xVal>
          <c:yVal>
            <c:numRef>
              <c:f>Main!$I$7:$I$8</c:f>
              <c:numCache/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20</c:v>
                </c:pt>
                <c:pt idx="1">
                  <c:v>87.09302325581393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24</c:v>
                </c:pt>
                <c:pt idx="1">
                  <c:v>22.322674418604652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29.5</c:v>
                </c:pt>
                <c:pt idx="1">
                  <c:v>87.09302325581393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19</c:v>
                </c:pt>
                <c:pt idx="1">
                  <c:v>22.322674418604652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87.09302325581393</c:v>
                </c:pt>
                <c:pt idx="2">
                  <c:v>100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22.322674418604652</c:v>
                </c:pt>
                <c:pt idx="2">
                  <c:v>25.630841121495333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37.725806451612904</c:v>
                </c:pt>
                <c:pt idx="1">
                  <c:v>37.725806451612904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37.725806451612904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-28</c:v>
                </c:pt>
                <c:pt idx="1">
                  <c:v>0</c:v>
                </c:pt>
                <c:pt idx="2">
                  <c:v>107.5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25.2</c:v>
                </c:pt>
                <c:pt idx="1">
                  <c:v>24.84870848708487</c:v>
                </c:pt>
                <c:pt idx="2">
                  <c:v>23.5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24.84870848708487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87.09302325581393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22.322674418604652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19.5</c:v>
                </c:pt>
                <c:pt idx="1">
                  <c:v>19.23205080756888</c:v>
                </c:pt>
                <c:pt idx="2">
                  <c:v>18.5</c:v>
                </c:pt>
                <c:pt idx="3">
                  <c:v>17.5</c:v>
                </c:pt>
                <c:pt idx="4">
                  <c:v>16.5</c:v>
                </c:pt>
                <c:pt idx="5">
                  <c:v>15.767949192431123</c:v>
                </c:pt>
                <c:pt idx="6">
                  <c:v>15.5</c:v>
                </c:pt>
                <c:pt idx="7">
                  <c:v>15.767949192431123</c:v>
                </c:pt>
                <c:pt idx="8">
                  <c:v>16.5</c:v>
                </c:pt>
                <c:pt idx="9">
                  <c:v>17.5</c:v>
                </c:pt>
                <c:pt idx="10">
                  <c:v>18.5</c:v>
                </c:pt>
                <c:pt idx="11">
                  <c:v>19.232050807568875</c:v>
                </c:pt>
                <c:pt idx="12">
                  <c:v>19.5</c:v>
                </c:pt>
              </c:numCache>
            </c:numRef>
          </c:yVal>
          <c:smooth val="0"/>
        </c:ser>
        <c:axId val="40117601"/>
        <c:axId val="25514090"/>
      </c:scatterChart>
      <c:valAx>
        <c:axId val="40117601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At val="0"/>
        <c:crossBetween val="midCat"/>
        <c:dispUnits/>
        <c:majorUnit val="20"/>
        <c:minorUnit val="5"/>
      </c:valAx>
      <c:valAx>
        <c:axId val="2551409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117601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5775"/>
          <c:y val="0.0865"/>
          <c:w val="0.13975"/>
          <c:h val="0.8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Travel</a:t>
            </a:r>
          </a:p>
        </c:rich>
      </c:tx>
      <c:layout>
        <c:manualLayout>
          <c:xMode val="factor"/>
          <c:yMode val="factor"/>
          <c:x val="0.32825"/>
          <c:y val="0.1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15"/>
          <c:w val="0.94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29.5</c:v>
                </c:pt>
                <c:pt idx="1">
                  <c:v>3.5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19</c:v>
                </c:pt>
                <c:pt idx="1">
                  <c:v>17.5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24</c:v>
                </c:pt>
                <c:pt idx="1">
                  <c:v>24.5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19.25</c:v>
                </c:pt>
                <c:pt idx="1">
                  <c:v>19.015544456622766</c:v>
                </c:pt>
                <c:pt idx="2">
                  <c:v>18.375</c:v>
                </c:pt>
                <c:pt idx="3">
                  <c:v>17.5</c:v>
                </c:pt>
                <c:pt idx="4">
                  <c:v>16.625</c:v>
                </c:pt>
                <c:pt idx="5">
                  <c:v>15.984455543377232</c:v>
                </c:pt>
                <c:pt idx="6">
                  <c:v>15.75</c:v>
                </c:pt>
                <c:pt idx="7">
                  <c:v>15.984455543377232</c:v>
                </c:pt>
                <c:pt idx="8">
                  <c:v>16.625</c:v>
                </c:pt>
                <c:pt idx="9">
                  <c:v>17.5</c:v>
                </c:pt>
                <c:pt idx="10">
                  <c:v>18.375</c:v>
                </c:pt>
                <c:pt idx="11">
                  <c:v>19.015544456622766</c:v>
                </c:pt>
                <c:pt idx="12">
                  <c:v>19.25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4.529333289294113</c:v>
                </c:pt>
                <c:pt idx="2">
                  <c:v>8.749999999999998</c:v>
                </c:pt>
                <c:pt idx="3">
                  <c:v>12.37436867076458</c:v>
                </c:pt>
                <c:pt idx="4">
                  <c:v>15.155444566227676</c:v>
                </c:pt>
                <c:pt idx="5">
                  <c:v>16.903701960058694</c:v>
                </c:pt>
                <c:pt idx="6">
                  <c:v>17.5</c:v>
                </c:pt>
                <c:pt idx="7">
                  <c:v>16.903701960058694</c:v>
                </c:pt>
                <c:pt idx="8">
                  <c:v>15.155444566227677</c:v>
                </c:pt>
                <c:pt idx="9">
                  <c:v>12.374368670764582</c:v>
                </c:pt>
                <c:pt idx="10">
                  <c:v>8.749999999999998</c:v>
                </c:pt>
                <c:pt idx="11">
                  <c:v>4.529333289294118</c:v>
                </c:pt>
                <c:pt idx="12">
                  <c:v>2.144009796090085E-15</c:v>
                </c:pt>
                <c:pt idx="13">
                  <c:v>-4.529333289294114</c:v>
                </c:pt>
                <c:pt idx="14">
                  <c:v>-8.750000000000002</c:v>
                </c:pt>
                <c:pt idx="15">
                  <c:v>-12.37436867076458</c:v>
                </c:pt>
                <c:pt idx="16">
                  <c:v>-15.155444566227672</c:v>
                </c:pt>
                <c:pt idx="17">
                  <c:v>-16.903701960058694</c:v>
                </c:pt>
                <c:pt idx="18">
                  <c:v>-17.5</c:v>
                </c:pt>
                <c:pt idx="19">
                  <c:v>-16.903701960058697</c:v>
                </c:pt>
                <c:pt idx="20">
                  <c:v>-15.155444566227676</c:v>
                </c:pt>
                <c:pt idx="21">
                  <c:v>-12.374368670764584</c:v>
                </c:pt>
                <c:pt idx="22">
                  <c:v>-8.750000000000007</c:v>
                </c:pt>
                <c:pt idx="23">
                  <c:v>-4.529333289294112</c:v>
                </c:pt>
                <c:pt idx="24">
                  <c:v>-4.28801959218017E-15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0.5962980399413063</c:v>
                </c:pt>
                <c:pt idx="2">
                  <c:v>2.3445554337723227</c:v>
                </c:pt>
                <c:pt idx="3">
                  <c:v>5.125631329235418</c:v>
                </c:pt>
                <c:pt idx="4">
                  <c:v>8.749999999999998</c:v>
                </c:pt>
                <c:pt idx="5">
                  <c:v>12.970666710705887</c:v>
                </c:pt>
                <c:pt idx="6">
                  <c:v>17.5</c:v>
                </c:pt>
                <c:pt idx="7">
                  <c:v>22.029333289294115</c:v>
                </c:pt>
                <c:pt idx="8">
                  <c:v>26.249999999999996</c:v>
                </c:pt>
                <c:pt idx="9">
                  <c:v>29.874368670764582</c:v>
                </c:pt>
                <c:pt idx="10">
                  <c:v>32.65544456622768</c:v>
                </c:pt>
                <c:pt idx="11">
                  <c:v>34.4037019600587</c:v>
                </c:pt>
                <c:pt idx="12">
                  <c:v>35</c:v>
                </c:pt>
                <c:pt idx="13">
                  <c:v>34.4037019600587</c:v>
                </c:pt>
                <c:pt idx="14">
                  <c:v>32.65544456622767</c:v>
                </c:pt>
                <c:pt idx="15">
                  <c:v>29.874368670764582</c:v>
                </c:pt>
                <c:pt idx="16">
                  <c:v>26.250000000000007</c:v>
                </c:pt>
                <c:pt idx="17">
                  <c:v>22.02933328929411</c:v>
                </c:pt>
                <c:pt idx="18">
                  <c:v>17.500000000000004</c:v>
                </c:pt>
                <c:pt idx="19">
                  <c:v>12.970666710705895</c:v>
                </c:pt>
                <c:pt idx="20">
                  <c:v>8.749999999999998</c:v>
                </c:pt>
                <c:pt idx="21">
                  <c:v>5.125631329235421</c:v>
                </c:pt>
                <c:pt idx="22">
                  <c:v>2.344555433772328</c:v>
                </c:pt>
                <c:pt idx="23">
                  <c:v>0.5962980399413063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37.725806451612904</c:v>
                </c:pt>
                <c:pt idx="1">
                  <c:v>37.725806451612904</c:v>
                </c:pt>
              </c:numCache>
            </c:numRef>
          </c:yVal>
          <c:smooth val="0"/>
        </c:ser>
        <c:axId val="28300219"/>
        <c:axId val="53375380"/>
      </c:scatterChart>
      <c:valAx>
        <c:axId val="28300219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 val="autoZero"/>
        <c:crossBetween val="midCat"/>
        <c:dispUnits/>
      </c:valAx>
      <c:valAx>
        <c:axId val="5337538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8300219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7025"/>
          <c:h val="0.96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/>
            </c:numRef>
          </c:xVal>
          <c:yVal>
            <c:numRef>
              <c:f>'Travel (2)'!$N$53:$N$54</c:f>
              <c:numCache/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/>
            </c:numRef>
          </c:xVal>
          <c:yVal>
            <c:numRef>
              <c:f>'Travel (2)'!$N$55:$N$56</c:f>
              <c:numCache/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/>
            </c:numRef>
          </c:xVal>
          <c:yVal>
            <c:numRef>
              <c:f>'Travel (2)'!$N$43:$N$44</c:f>
              <c:numCache/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/>
            </c:numRef>
          </c:xVal>
          <c:yVal>
            <c:numRef>
              <c:f>'Travel (2)'!$N$41:$N$42</c:f>
              <c:numCache/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/>
            </c:numRef>
          </c:xVal>
          <c:yVal>
            <c:numRef>
              <c:f>'Travel (2)'!$N$47:$N$50</c:f>
              <c:numCache/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/>
            </c:numRef>
          </c:xVal>
          <c:yVal>
            <c:numRef>
              <c:f>'Travel (2)'!$N$59:$N$62</c:f>
              <c:numCache/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/>
            </c:numRef>
          </c:xVal>
          <c:yVal>
            <c:numRef>
              <c:f>'Travel (2)'!$D$40:$D$64</c:f>
              <c:numCache/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/>
            </c:numRef>
          </c:xVal>
          <c:yVal>
            <c:numRef>
              <c:f>'Travel (2)'!$F$40:$F$64</c:f>
              <c:numCache/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/>
            </c:numRef>
          </c:xVal>
          <c:yVal>
            <c:numRef>
              <c:f>'Travel (2)'!$K$6:$K$7</c:f>
              <c:numCache/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/>
            </c:numRef>
          </c:xVal>
          <c:yVal>
            <c:numRef>
              <c:f>'Travel (2)'!$K$20:$K$21</c:f>
              <c:numCache/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/>
            </c:numRef>
          </c:xVal>
          <c:yVal>
            <c:numRef>
              <c:f>'Travel (2)'!$I$40:$I$41</c:f>
              <c:numCache/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/>
            </c:numRef>
          </c:xVal>
          <c:yVal>
            <c:numRef>
              <c:f>'Travel (2)'!$I$44:$I$45</c:f>
              <c:numCache/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/>
            </c:numRef>
          </c:xVal>
          <c:yVal>
            <c:numRef>
              <c:f>'Travel (2)'!$I$48:$I$50</c:f>
              <c:numCache/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/>
            </c:numRef>
          </c:xVal>
          <c:yVal>
            <c:numRef>
              <c:f>'Travel (2)'!$I$53:$I$54</c:f>
              <c:numCache/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/>
            </c:numRef>
          </c:xVal>
          <c:yVal>
            <c:numRef>
              <c:f>'Travel (2)'!$I$57:$I$58</c:f>
              <c:numCache/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/>
            </c:numRef>
          </c:xVal>
          <c:yVal>
            <c:numRef>
              <c:f>'Travel (2)'!$I$62</c:f>
              <c:numCache/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/>
            </c:numRef>
          </c:xVal>
          <c:yVal>
            <c:numRef>
              <c:f>'Travel (2)'!$I$35</c:f>
              <c:numCache/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/>
            </c:numRef>
          </c:xVal>
          <c:yVal>
            <c:numRef>
              <c:f>'Travel (2)'!$K$41:$K$53</c:f>
              <c:numCache/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/>
            </c:numRef>
          </c:xVal>
          <c:yVal>
            <c:numRef>
              <c:f>'Travel (2)'!$I$62:$I$63</c:f>
              <c:numCache/>
            </c:numRef>
          </c:yVal>
          <c:smooth val="0"/>
        </c:ser>
        <c:ser>
          <c:idx val="19"/>
          <c:order val="19"/>
          <c:tx>
            <c:v>static lowers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/>
            </c:numRef>
          </c:xVal>
          <c:yVal>
            <c:numRef>
              <c:f>'Travel (2)'!$E$20:$E$21</c:f>
              <c:numCache/>
            </c:numRef>
          </c:yVal>
          <c:smooth val="0"/>
        </c:ser>
        <c:ser>
          <c:idx val="20"/>
          <c:order val="20"/>
          <c:tx>
            <c:v>static uppers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/>
            </c:numRef>
          </c:xVal>
          <c:yVal>
            <c:numRef>
              <c:f>'Travel (2)'!$E$6:$E$7</c:f>
              <c:numCache/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/>
            </c:numRef>
          </c:xVal>
          <c:yVal>
            <c:numRef>
              <c:f>'Travel (2)'!$M$74:$M$77</c:f>
              <c:numCache/>
            </c:numRef>
          </c:yVal>
          <c:smooth val="0"/>
        </c:ser>
        <c:ser>
          <c:idx val="22"/>
          <c:order val="22"/>
          <c:tx>
            <c:v>static pinion line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/>
            </c:numRef>
          </c:xVal>
          <c:yVal>
            <c:numRef>
              <c:f>('Travel (2)'!$D$69,'Travel (2)'!$D$71,'Travel (2)'!$D$73)</c:f>
              <c:numCache/>
            </c:numRef>
          </c:yVal>
          <c:smooth val="0"/>
        </c:ser>
        <c:axId val="10616373"/>
        <c:axId val="28438494"/>
      </c:scatterChart>
      <c:valAx>
        <c:axId val="10616373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8494"/>
        <c:crossesAt val="0"/>
        <c:crossBetween val="midCat"/>
        <c:dispUnits/>
        <c:majorUnit val="20"/>
        <c:minorUnit val="5"/>
      </c:valAx>
      <c:valAx>
        <c:axId val="2843849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616373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125"/>
          <c:w val="0.983"/>
          <c:h val="0.94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/>
            </c:numRef>
          </c:xVal>
          <c:yVal>
            <c:numRef>
              <c:f>Plot!$N$18:$N$19</c:f>
              <c:numCache/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/>
            </c:numRef>
          </c:xVal>
          <c:yVal>
            <c:numRef>
              <c:f>Plot!$N$20:$N$21</c:f>
              <c:numCache/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/>
            </c:numRef>
          </c:xVal>
          <c:yVal>
            <c:numRef>
              <c:f>Plot!$N$8:$N$9</c:f>
              <c:numCache/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/>
            </c:numRef>
          </c:xVal>
          <c:yVal>
            <c:numRef>
              <c:f>Plot!$N$6:$N$7</c:f>
              <c:numCache/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/>
            </c:numRef>
          </c:xVal>
          <c:yVal>
            <c:numRef>
              <c:f>Plot!$N$12:$N$15</c:f>
              <c:numCache/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/>
            </c:numRef>
          </c:xVal>
          <c:yVal>
            <c:numRef>
              <c:f>Plot!$N$24:$N$27</c:f>
              <c:numCache/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/>
            </c:numRef>
          </c:xVal>
          <c:yVal>
            <c:numRef>
              <c:f>Plot!$D$5:$D$29</c:f>
              <c:numCache/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/>
            </c:numRef>
          </c:xVal>
          <c:yVal>
            <c:numRef>
              <c:f>Plot!$F$5:$F$29</c:f>
              <c:numCache/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24</c:v>
                </c:pt>
                <c:pt idx="1">
                  <c:v>24.5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29.5</c:v>
                </c:pt>
                <c:pt idx="1">
                  <c:v>3.5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19</c:v>
                </c:pt>
                <c:pt idx="1">
                  <c:v>17.5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/>
            </c:numRef>
          </c:xVal>
          <c:yVal>
            <c:numRef>
              <c:f>Plot!$H$5:$H$6</c:f>
              <c:numCache/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/>
            </c:numRef>
          </c:xVal>
          <c:yVal>
            <c:numRef>
              <c:f>Plot!$H$9:$H$10</c:f>
              <c:numCache/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/>
            </c:numRef>
          </c:xVal>
          <c:yVal>
            <c:numRef>
              <c:f>Plot!$H$13:$H$15</c:f>
              <c:numCache/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/>
            </c:numRef>
          </c:xVal>
          <c:yVal>
            <c:numRef>
              <c:f>Plot!$H$18:$H$19</c:f>
              <c:numCache/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/>
            </c:numRef>
          </c:xVal>
          <c:yVal>
            <c:numRef>
              <c:f>Plot!$H$22:$H$23</c:f>
              <c:numCache/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/>
            </c:numRef>
          </c:xVal>
          <c:yVal>
            <c:numRef>
              <c:f>Plot!$H$27</c:f>
              <c:numCache/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87.09302325581393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22.322674418604652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/>
            </c:numRef>
          </c:xVal>
          <c:yVal>
            <c:numRef>
              <c:f>Plot!$J$6:$J$18</c:f>
              <c:numCache/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/>
            </c:numRef>
          </c:xVal>
          <c:yVal>
            <c:numRef>
              <c:f>Plot!$H$26:$H$28</c:f>
              <c:numCache/>
            </c:numRef>
          </c:yVal>
          <c:smooth val="0"/>
        </c:ser>
        <c:axId val="54619855"/>
        <c:axId val="21816648"/>
      </c:scatterChart>
      <c:valAx>
        <c:axId val="54619855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6648"/>
        <c:crossesAt val="0"/>
        <c:crossBetween val="midCat"/>
        <c:dispUnits/>
        <c:majorUnit val="20"/>
        <c:minorUnit val="5"/>
      </c:valAx>
      <c:valAx>
        <c:axId val="2181664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619855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0675"/>
          <c:y val="0.003"/>
          <c:w val="0.85975"/>
          <c:h val="0.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1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11</xdr:col>
      <xdr:colOff>447675</xdr:colOff>
      <xdr:row>32</xdr:row>
      <xdr:rowOff>9525</xdr:rowOff>
    </xdr:from>
    <xdr:to>
      <xdr:col>15</xdr:col>
      <xdr:colOff>876300</xdr:colOff>
      <xdr:row>35</xdr:row>
      <xdr:rowOff>114300</xdr:rowOff>
    </xdr:to>
    <xdr:pic>
      <xdr:nvPicPr>
        <xdr:cNvPr id="2" name="CmdBu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5572125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209550</xdr:colOff>
      <xdr:row>35</xdr:row>
      <xdr:rowOff>114300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 descr="CordSys4Li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6"/>
  <sheetViews>
    <sheetView showGridLines="0" tabSelected="1" zoomScale="85" zoomScaleNormal="85" zoomScalePageLayoutView="0" workbookViewId="0" topLeftCell="A2">
      <selection activeCell="G5" sqref="G5"/>
    </sheetView>
  </sheetViews>
  <sheetFormatPr defaultColWidth="15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bestFit="1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8" t="s">
        <v>132</v>
      </c>
      <c r="C1" s="238"/>
      <c r="D1" s="238"/>
      <c r="E1" s="238"/>
      <c r="F1" s="238"/>
      <c r="G1" s="56"/>
      <c r="O1" s="128"/>
      <c r="P1" s="57" t="s">
        <v>30</v>
      </c>
    </row>
    <row r="2" spans="2:16" ht="15.75">
      <c r="B2" s="237" t="s">
        <v>32</v>
      </c>
      <c r="C2" s="237"/>
      <c r="D2" s="237"/>
      <c r="F2" s="237" t="s">
        <v>33</v>
      </c>
      <c r="G2" s="237"/>
      <c r="H2" s="237"/>
      <c r="I2" s="237"/>
      <c r="J2" s="237"/>
      <c r="K2" s="25"/>
      <c r="L2" s="237" t="s">
        <v>87</v>
      </c>
      <c r="M2" s="237"/>
      <c r="N2" s="237"/>
      <c r="O2" s="237"/>
      <c r="P2" s="237"/>
    </row>
    <row r="3" spans="2:16" ht="14.25" customHeight="1">
      <c r="B3" s="72" t="s">
        <v>2</v>
      </c>
      <c r="C3" s="73">
        <v>100</v>
      </c>
      <c r="D3" s="59" t="s">
        <v>10</v>
      </c>
      <c r="F3" s="37" t="s">
        <v>4</v>
      </c>
      <c r="G3" s="61" t="s">
        <v>1</v>
      </c>
      <c r="H3" s="61" t="s">
        <v>0</v>
      </c>
      <c r="I3" s="61" t="s">
        <v>5</v>
      </c>
      <c r="J3" s="62"/>
      <c r="K3" s="25"/>
      <c r="L3" s="72" t="s">
        <v>178</v>
      </c>
      <c r="M3" s="75">
        <f>Anti_Squat</f>
        <v>67.93980972777727</v>
      </c>
      <c r="N3" s="58" t="s">
        <v>7</v>
      </c>
      <c r="O3" s="220" t="s">
        <v>177</v>
      </c>
      <c r="P3" s="221">
        <f>'Travel (2)'!I30/100</f>
        <v>0.6793980972777728</v>
      </c>
    </row>
    <row r="4" spans="2:18" ht="14.25" customHeight="1">
      <c r="B4" s="14" t="s">
        <v>3</v>
      </c>
      <c r="C4" s="33">
        <v>35</v>
      </c>
      <c r="D4" s="41" t="s">
        <v>10</v>
      </c>
      <c r="E4" s="11"/>
      <c r="F4" s="14" t="s">
        <v>23</v>
      </c>
      <c r="G4" s="70">
        <v>20</v>
      </c>
      <c r="H4" s="70">
        <v>12</v>
      </c>
      <c r="I4" s="233">
        <v>24</v>
      </c>
      <c r="J4" s="39" t="s">
        <v>10</v>
      </c>
      <c r="L4" s="14" t="s">
        <v>69</v>
      </c>
      <c r="M4" s="69">
        <f>Roll_Center_Height</f>
        <v>24.84870848708487</v>
      </c>
      <c r="N4" s="24" t="s">
        <v>10</v>
      </c>
      <c r="O4" s="25" t="s">
        <v>179</v>
      </c>
      <c r="P4" s="223">
        <f>'Travel (2)'!I32</f>
        <v>24.84870848708487</v>
      </c>
      <c r="R4" s="17" t="s">
        <v>129</v>
      </c>
    </row>
    <row r="5" spans="2:18" ht="14.25" customHeight="1">
      <c r="B5" s="14" t="s">
        <v>86</v>
      </c>
      <c r="C5" s="32">
        <v>17.5</v>
      </c>
      <c r="D5" s="41" t="s">
        <v>10</v>
      </c>
      <c r="E5" s="11"/>
      <c r="F5" s="14" t="s">
        <v>24</v>
      </c>
      <c r="G5" s="70">
        <v>0</v>
      </c>
      <c r="H5" s="70">
        <v>7</v>
      </c>
      <c r="I5" s="70">
        <v>24.5</v>
      </c>
      <c r="J5" s="39" t="s">
        <v>10</v>
      </c>
      <c r="L5" s="14" t="s">
        <v>70</v>
      </c>
      <c r="M5" s="76">
        <f>Roll_Axis_Angle</f>
        <v>-0.7188023253311524</v>
      </c>
      <c r="N5" s="86" t="str">
        <f>IF(M5&lt;0,"degrees (Roll Understeer)","degrees (Roll Oversteer)")</f>
        <v>degrees (Roll Understeer)</v>
      </c>
      <c r="O5" s="25" t="s">
        <v>180</v>
      </c>
      <c r="P5" s="227">
        <f>'Travel (2)'!I33</f>
        <v>-0.7188023253311524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87.09302325581393</v>
      </c>
      <c r="N6" s="10" t="s">
        <v>10</v>
      </c>
      <c r="O6" s="25" t="s">
        <v>182</v>
      </c>
      <c r="P6" s="226">
        <f>'Travel (2)'!I3</f>
        <v>0</v>
      </c>
      <c r="R6" s="17" t="s">
        <v>66</v>
      </c>
    </row>
    <row r="7" spans="2:18" ht="14.25" customHeight="1">
      <c r="B7" s="78" t="s">
        <v>123</v>
      </c>
      <c r="C7" s="71">
        <v>3800</v>
      </c>
      <c r="D7" s="41" t="s">
        <v>11</v>
      </c>
      <c r="E7" s="11"/>
      <c r="F7" s="14" t="s">
        <v>23</v>
      </c>
      <c r="G7" s="70">
        <v>29.5</v>
      </c>
      <c r="H7" s="70">
        <v>12</v>
      </c>
      <c r="I7" s="70">
        <v>19</v>
      </c>
      <c r="J7" s="39" t="s">
        <v>10</v>
      </c>
      <c r="L7" s="14" t="s">
        <v>42</v>
      </c>
      <c r="M7" s="27">
        <f>IF(ABS(IC_X)&gt;Plot!J3,"Parallel",IC_Z)</f>
        <v>22.322674418604652</v>
      </c>
      <c r="N7" s="10" t="s">
        <v>10</v>
      </c>
      <c r="O7" s="9" t="s">
        <v>181</v>
      </c>
      <c r="P7" s="222">
        <v>0</v>
      </c>
      <c r="R7" s="209" t="s">
        <v>143</v>
      </c>
    </row>
    <row r="8" spans="1:16" ht="14.25" customHeight="1">
      <c r="A8" s="12"/>
      <c r="B8" s="9" t="s">
        <v>136</v>
      </c>
      <c r="C8" s="203">
        <v>800</v>
      </c>
      <c r="D8" s="12" t="s">
        <v>11</v>
      </c>
      <c r="E8" s="11"/>
      <c r="F8" s="18" t="s">
        <v>24</v>
      </c>
      <c r="G8" s="74">
        <v>3.5</v>
      </c>
      <c r="H8" s="74">
        <v>16</v>
      </c>
      <c r="I8" s="74">
        <v>17.5</v>
      </c>
      <c r="J8" s="60" t="s">
        <v>10</v>
      </c>
      <c r="K8" s="25"/>
      <c r="L8" s="77"/>
      <c r="M8" s="6"/>
      <c r="N8" s="6"/>
      <c r="O8" s="225" t="s">
        <v>175</v>
      </c>
      <c r="P8" s="224">
        <v>4</v>
      </c>
    </row>
    <row r="9" spans="1:15" ht="14.25" customHeight="1">
      <c r="A9" s="12"/>
      <c r="B9" s="18" t="s">
        <v>122</v>
      </c>
      <c r="C9" s="204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9" ht="14.25" customHeight="1">
      <c r="H15" s="11"/>
      <c r="J15" s="24"/>
      <c r="K15" s="25"/>
      <c r="L15" s="27"/>
      <c r="M15" s="17"/>
      <c r="N15" s="24"/>
      <c r="O15" s="24"/>
      <c r="R15" s="229" t="s">
        <v>188</v>
      </c>
      <c r="S15" s="230"/>
    </row>
    <row r="16" spans="8:19" ht="14.25" customHeight="1">
      <c r="H16" s="11"/>
      <c r="J16" s="24"/>
      <c r="K16" s="25"/>
      <c r="L16" s="27"/>
      <c r="M16" s="24"/>
      <c r="N16" s="24"/>
      <c r="O16" s="24"/>
      <c r="R16" s="231" t="s">
        <v>189</v>
      </c>
      <c r="S16" s="231">
        <f>SQRT(((G4-G5)^2)+((H4-H5)^2))</f>
        <v>20.615528128088304</v>
      </c>
    </row>
    <row r="17" spans="8:19" ht="14.25" customHeight="1">
      <c r="H17" s="9"/>
      <c r="N17" s="24"/>
      <c r="O17" s="24"/>
      <c r="R17" s="10" t="s">
        <v>193</v>
      </c>
      <c r="S17" s="218">
        <f>ABS(DEGREES(TAN((H4-H5)/(G4-G5))))*2</f>
        <v>29.260028837454662</v>
      </c>
    </row>
    <row r="18" spans="8:19" ht="14.25" customHeight="1">
      <c r="H18" s="9"/>
      <c r="N18" s="24"/>
      <c r="O18" s="24"/>
      <c r="R18" s="231" t="s">
        <v>190</v>
      </c>
      <c r="S18" s="231">
        <f>SQRT(((G7-G8)^2)+((H7-H8)^2))</f>
        <v>26.30589287593181</v>
      </c>
    </row>
    <row r="19" spans="8:19" ht="14.25" customHeight="1">
      <c r="H19" s="9"/>
      <c r="N19" s="24"/>
      <c r="O19" s="24"/>
      <c r="R19" s="10" t="s">
        <v>192</v>
      </c>
      <c r="S19" s="218">
        <f>ABS(DEGREES(TAN((H7-H8)/(G7-G8))))*2</f>
        <v>17.769888696915853</v>
      </c>
    </row>
    <row r="20" spans="18:19" ht="14.25" customHeight="1">
      <c r="R20" s="232" t="s">
        <v>191</v>
      </c>
      <c r="S20" s="232">
        <f>S17+S19</f>
        <v>47.02991753437051</v>
      </c>
    </row>
    <row r="21" spans="18:19" ht="14.25" customHeight="1">
      <c r="R21" s="234" t="s">
        <v>194</v>
      </c>
      <c r="S21" s="235">
        <f>I5-I8</f>
        <v>7</v>
      </c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zoomScalePageLayoutView="0" workbookViewId="0" topLeftCell="A1">
      <selection activeCell="L30" sqref="L30"/>
    </sheetView>
  </sheetViews>
  <sheetFormatPr defaultColWidth="15.140625" defaultRowHeight="12.75"/>
  <cols>
    <col min="1" max="1" width="1.421875" style="92" customWidth="1"/>
    <col min="2" max="2" width="18.7109375" style="83" bestFit="1" customWidth="1"/>
    <col min="3" max="6" width="10.7109375" style="92" customWidth="1"/>
    <col min="7" max="7" width="2.8515625" style="92" customWidth="1"/>
    <col min="8" max="8" width="16.7109375" style="92" bestFit="1" customWidth="1"/>
    <col min="9" max="12" width="7.140625" style="95" customWidth="1"/>
    <col min="13" max="13" width="16.7109375" style="92" bestFit="1" customWidth="1"/>
    <col min="14" max="17" width="7.140625" style="92" customWidth="1"/>
    <col min="18" max="16384" width="15.140625" style="92" customWidth="1"/>
  </cols>
  <sheetData>
    <row r="1" spans="2:10" ht="20.25">
      <c r="B1" s="242" t="str">
        <f>Main!B1</f>
        <v>4 Bar Linkage Calculator v3.0</v>
      </c>
      <c r="C1" s="242"/>
      <c r="D1" s="242"/>
      <c r="E1" s="242"/>
      <c r="F1" s="242"/>
      <c r="H1" s="110"/>
      <c r="I1" s="239" t="s">
        <v>112</v>
      </c>
      <c r="J1" s="239"/>
    </row>
    <row r="2" spans="2:10" ht="12.75">
      <c r="B2" s="83" t="s">
        <v>128</v>
      </c>
      <c r="C2" s="199">
        <f>Vehicle_CG_Height</f>
        <v>34</v>
      </c>
      <c r="F2" s="86"/>
      <c r="G2" s="90"/>
      <c r="H2" s="93"/>
      <c r="I2" s="89"/>
      <c r="J2" s="89"/>
    </row>
    <row r="3" spans="2:14" ht="12.75">
      <c r="B3" s="83" t="s">
        <v>126</v>
      </c>
      <c r="C3" s="198">
        <f>(Vehicle_CG_Height*Vehicle_Mass-Front_Unsprung_Mass*Tire_Rolling_Radius-Rear_Unsprung_Mass*Tire_Rolling_Radius)/(Vehicle_Mass-Front_Unsprung_Mass-Rear_Unsprung_Mass)</f>
        <v>44.76086956521739</v>
      </c>
      <c r="D3" s="92" t="s">
        <v>10</v>
      </c>
      <c r="E3" s="198"/>
      <c r="G3" s="83"/>
      <c r="H3" s="17"/>
      <c r="N3" s="86"/>
    </row>
    <row r="4" spans="2:12" ht="12.75">
      <c r="B4" s="83" t="s">
        <v>127</v>
      </c>
      <c r="C4" s="198">
        <f>(Vehicle_CG_Height*Vehicle_Mass-Rear_Unsprung_Mass*Tire_Rolling_Radius)/(Vehicle_Mass-Rear_Unsprung_Mass)</f>
        <v>37.725806451612904</v>
      </c>
      <c r="D4" s="92" t="s">
        <v>10</v>
      </c>
      <c r="G4" s="83"/>
      <c r="I4" s="92"/>
      <c r="J4" s="92"/>
      <c r="K4" s="92"/>
      <c r="L4" s="92"/>
    </row>
    <row r="5" spans="2:12" ht="15.75">
      <c r="B5" s="240" t="s">
        <v>33</v>
      </c>
      <c r="C5" s="240"/>
      <c r="D5" s="240"/>
      <c r="E5" s="240"/>
      <c r="F5" s="240"/>
      <c r="G5" s="83"/>
      <c r="I5" s="92"/>
      <c r="J5" s="92"/>
      <c r="K5" s="92"/>
      <c r="L5" s="92"/>
    </row>
    <row r="6" spans="2:12" ht="15.75">
      <c r="B6" s="84" t="s">
        <v>4</v>
      </c>
      <c r="C6" s="81" t="s">
        <v>1</v>
      </c>
      <c r="D6" s="81" t="s">
        <v>0</v>
      </c>
      <c r="E6" s="81" t="s">
        <v>5</v>
      </c>
      <c r="F6" s="82"/>
      <c r="G6" s="83"/>
      <c r="I6" s="92"/>
      <c r="J6" s="92"/>
      <c r="K6" s="92"/>
      <c r="L6" s="92"/>
    </row>
    <row r="7" spans="2:12" ht="12.75">
      <c r="B7" s="88" t="s">
        <v>23</v>
      </c>
      <c r="C7" s="111">
        <f>UF_X</f>
        <v>20</v>
      </c>
      <c r="D7" s="111">
        <f>UF_Y</f>
        <v>12</v>
      </c>
      <c r="E7" s="111">
        <f>UF_Z</f>
        <v>24</v>
      </c>
      <c r="F7" s="87" t="s">
        <v>10</v>
      </c>
      <c r="G7" s="83"/>
      <c r="I7" s="92"/>
      <c r="J7" s="92"/>
      <c r="K7" s="92"/>
      <c r="L7" s="92"/>
    </row>
    <row r="8" spans="2:7" s="105" customFormat="1" ht="12.75">
      <c r="B8" s="88" t="s">
        <v>24</v>
      </c>
      <c r="C8" s="111">
        <f>UA_X</f>
        <v>0</v>
      </c>
      <c r="D8" s="111">
        <f>UA_Y</f>
        <v>7</v>
      </c>
      <c r="E8" s="111">
        <f>UA_Z</f>
        <v>24.5</v>
      </c>
      <c r="F8" s="87" t="s">
        <v>10</v>
      </c>
      <c r="G8" s="104"/>
    </row>
    <row r="9" spans="2:7" s="105" customFormat="1" ht="12.75">
      <c r="B9" s="88" t="s">
        <v>13</v>
      </c>
      <c r="C9" s="89">
        <f>(UF_X-UA_X)</f>
        <v>20</v>
      </c>
      <c r="D9" s="89">
        <f>(UF_Y-UA_Y)</f>
        <v>5</v>
      </c>
      <c r="E9" s="89">
        <f>(UF_Z-UA_Z)</f>
        <v>-0.5</v>
      </c>
      <c r="F9" s="87" t="s">
        <v>10</v>
      </c>
      <c r="G9" s="104"/>
    </row>
    <row r="10" spans="2:7" s="105" customFormat="1" ht="12.75">
      <c r="B10" s="91" t="s">
        <v>108</v>
      </c>
      <c r="C10" s="90">
        <f>(C9^2+D9^2+E9^2)^(0.5)</f>
        <v>20.62159062730128</v>
      </c>
      <c r="D10" s="86" t="s">
        <v>10</v>
      </c>
      <c r="E10" s="90"/>
      <c r="F10" s="87"/>
      <c r="G10" s="104"/>
    </row>
    <row r="11" spans="2:12" ht="12.75">
      <c r="B11" s="30" t="s">
        <v>14</v>
      </c>
      <c r="C11" s="25">
        <f>(C9/$C$10)</f>
        <v>0.9698572899377439</v>
      </c>
      <c r="D11" s="25">
        <f>(D9/$C$10)</f>
        <v>0.24246432248443597</v>
      </c>
      <c r="E11" s="25">
        <f>(E9/$C$10)</f>
        <v>-0.024246432248443597</v>
      </c>
      <c r="F11" s="26">
        <f>(C11^2+D11^2+E11^2)^0.5</f>
        <v>1</v>
      </c>
      <c r="G11" s="83"/>
      <c r="I11" s="92"/>
      <c r="J11" s="92"/>
      <c r="K11" s="92"/>
      <c r="L11" s="92"/>
    </row>
    <row r="12" spans="2:12" ht="12.75">
      <c r="B12" s="30" t="s">
        <v>15</v>
      </c>
      <c r="C12" s="25">
        <f>IF(ISERROR(INTERCEPT(UF_X:UA_X,UF_Y:UA_Y)),"Parallel",(INTERCEPT(UF_X:UA_X,UF_Y:UA_Y)))</f>
        <v>-28</v>
      </c>
      <c r="D12" s="25">
        <f>INTERCEPT(UF_Y:UA_Y,UF_X:UA_X)</f>
        <v>7</v>
      </c>
      <c r="E12" s="25">
        <f>INTERCEPT(UF_Z:UA_Z,UF_X:UA_X)</f>
        <v>24.5</v>
      </c>
      <c r="F12" s="106" t="s">
        <v>10</v>
      </c>
      <c r="G12" s="83"/>
      <c r="I12" s="92"/>
      <c r="J12" s="92"/>
      <c r="K12" s="92"/>
      <c r="L12" s="92"/>
    </row>
    <row r="13" spans="2:7" s="105" customFormat="1" ht="12.75">
      <c r="B13" s="30" t="s">
        <v>16</v>
      </c>
      <c r="C13" s="25">
        <f>(C12)</f>
        <v>-28</v>
      </c>
      <c r="D13" s="25">
        <v>0</v>
      </c>
      <c r="E13" s="25">
        <f>IF(C12="Parallel","N/A",(C17*C12+E12))</f>
        <v>25.2</v>
      </c>
      <c r="F13" s="106" t="s">
        <v>10</v>
      </c>
      <c r="G13" s="104"/>
    </row>
    <row r="14" spans="2:23" s="105" customFormat="1" ht="12.75">
      <c r="B14" s="88" t="s">
        <v>109</v>
      </c>
      <c r="C14" s="93">
        <f>((Vehicle_Mass*Acceleration/2)*LA_Z)/(C11*(UA_Z-LA_Z)+E11*UA_X)</f>
        <v>29385.766643904328</v>
      </c>
      <c r="D14" s="112" t="str">
        <f>IF(C14&lt;0,"lb (Compression)","lb (Tension)")</f>
        <v>lb (Tension)</v>
      </c>
      <c r="E14" s="95"/>
      <c r="F14" s="87"/>
      <c r="G14" s="104"/>
      <c r="P14" s="107"/>
      <c r="Q14" s="107"/>
      <c r="R14" s="107"/>
      <c r="W14" s="107"/>
    </row>
    <row r="15" spans="2:12" ht="12.75">
      <c r="B15" s="91" t="s">
        <v>110</v>
      </c>
      <c r="C15" s="90">
        <f>($C14*C11)</f>
        <v>28500.000000000004</v>
      </c>
      <c r="D15" s="90">
        <f>($C14*D11)</f>
        <v>7125.000000000001</v>
      </c>
      <c r="E15" s="90">
        <f>($C14*E11)</f>
        <v>-712.5000000000001</v>
      </c>
      <c r="F15" s="87" t="s">
        <v>11</v>
      </c>
      <c r="I15" s="92"/>
      <c r="J15" s="92"/>
      <c r="K15" s="92"/>
      <c r="L15" s="92"/>
    </row>
    <row r="16" spans="2:12" ht="12.75">
      <c r="B16" s="30" t="s">
        <v>89</v>
      </c>
      <c r="C16" s="107">
        <f>(UF_Y-UA_Y)/(UF_X-UA_X)</f>
        <v>0.25</v>
      </c>
      <c r="D16" s="24" t="s">
        <v>9</v>
      </c>
      <c r="E16" s="25"/>
      <c r="F16" s="106"/>
      <c r="I16" s="92"/>
      <c r="J16" s="92"/>
      <c r="K16" s="92"/>
      <c r="L16" s="92"/>
    </row>
    <row r="17" spans="2:12" ht="12.75">
      <c r="B17" s="108" t="s">
        <v>88</v>
      </c>
      <c r="C17" s="122">
        <f>(UF_Z-UA_Z)/(UF_X-UA_X)</f>
        <v>-0.025</v>
      </c>
      <c r="D17" s="109" t="s">
        <v>9</v>
      </c>
      <c r="E17" s="29"/>
      <c r="F17" s="123"/>
      <c r="I17" s="92"/>
      <c r="J17" s="92"/>
      <c r="K17" s="92"/>
      <c r="L17" s="92"/>
    </row>
    <row r="18" spans="2:12" ht="15.75">
      <c r="B18" s="117" t="s">
        <v>6</v>
      </c>
      <c r="C18" s="81" t="s">
        <v>1</v>
      </c>
      <c r="D18" s="81" t="s">
        <v>0</v>
      </c>
      <c r="E18" s="81" t="s">
        <v>5</v>
      </c>
      <c r="F18" s="82"/>
      <c r="I18" s="92"/>
      <c r="J18" s="92"/>
      <c r="K18" s="92"/>
      <c r="L18" s="92"/>
    </row>
    <row r="19" spans="2:23" s="93" customFormat="1" ht="12.75">
      <c r="B19" s="88" t="s">
        <v>23</v>
      </c>
      <c r="C19" s="111">
        <f>LF_X</f>
        <v>29.5</v>
      </c>
      <c r="D19" s="111">
        <f>LF_Y</f>
        <v>12</v>
      </c>
      <c r="E19" s="111">
        <f>LF_Z</f>
        <v>19</v>
      </c>
      <c r="F19" s="87" t="s">
        <v>10</v>
      </c>
      <c r="P19" s="92"/>
      <c r="Q19" s="92"/>
      <c r="R19" s="92"/>
      <c r="W19" s="92"/>
    </row>
    <row r="20" spans="2:23" s="107" customFormat="1" ht="12.75">
      <c r="B20" s="88" t="s">
        <v>24</v>
      </c>
      <c r="C20" s="111">
        <f>LA_X</f>
        <v>3.5</v>
      </c>
      <c r="D20" s="111">
        <f>LA_Y</f>
        <v>16</v>
      </c>
      <c r="E20" s="111">
        <f>LA_Z</f>
        <v>17.5</v>
      </c>
      <c r="F20" s="87" t="s">
        <v>10</v>
      </c>
      <c r="P20" s="105"/>
      <c r="Q20" s="105"/>
      <c r="R20" s="105"/>
      <c r="W20" s="105"/>
    </row>
    <row r="21" spans="2:6" s="105" customFormat="1" ht="12.75">
      <c r="B21" s="91" t="s">
        <v>13</v>
      </c>
      <c r="C21" s="89">
        <f>(LF_X-LA_X)</f>
        <v>26</v>
      </c>
      <c r="D21" s="89">
        <f>(LF_Y-LA_Y)</f>
        <v>-4</v>
      </c>
      <c r="E21" s="89">
        <f>(LF_Z-LA_Z)</f>
        <v>1.5</v>
      </c>
      <c r="F21" s="87" t="s">
        <v>10</v>
      </c>
    </row>
    <row r="22" spans="2:6" s="105" customFormat="1" ht="12.75">
      <c r="B22" s="91" t="s">
        <v>108</v>
      </c>
      <c r="C22" s="90">
        <f>(C21^2+D21^2+E21^2)^(0.5)</f>
        <v>26.348624252510795</v>
      </c>
      <c r="D22" s="86" t="s">
        <v>10</v>
      </c>
      <c r="E22" s="90"/>
      <c r="F22" s="87"/>
    </row>
    <row r="23" spans="2:12" ht="12.75">
      <c r="B23" s="30" t="s">
        <v>14</v>
      </c>
      <c r="C23" s="25">
        <f>(C21/$C$22)</f>
        <v>0.986768787274441</v>
      </c>
      <c r="D23" s="25">
        <f>(D21/$C$22)</f>
        <v>-0.1518105826576063</v>
      </c>
      <c r="E23" s="25">
        <f>(E21/$C$22)</f>
        <v>0.05692896849660236</v>
      </c>
      <c r="F23" s="26">
        <f>(C23^2+D23^2+E23^2)^0.5</f>
        <v>1</v>
      </c>
      <c r="I23" s="92"/>
      <c r="J23" s="92"/>
      <c r="K23" s="92"/>
      <c r="L23" s="92"/>
    </row>
    <row r="24" spans="2:12" ht="12.75">
      <c r="B24" s="30" t="s">
        <v>15</v>
      </c>
      <c r="C24" s="25">
        <f>IF(ISERROR(INTERCEPT(LF_X:LA_X,LF_Y:LA_Y)),"Parallel",(INTERCEPT(LF_X:LA_X,LF_Y:LA_Y)))</f>
        <v>107.5</v>
      </c>
      <c r="D24" s="25">
        <f>INTERCEPT(LF_Y:LA_Y,LF_X:LA_X)</f>
        <v>16.53846153846154</v>
      </c>
      <c r="E24" s="25">
        <f>INTERCEPT(LF_Z:LA_Z,LF_X:LA_X)</f>
        <v>17.298076923076923</v>
      </c>
      <c r="F24" s="106" t="s">
        <v>10</v>
      </c>
      <c r="I24" s="92"/>
      <c r="J24" s="92"/>
      <c r="K24" s="92"/>
      <c r="L24" s="92"/>
    </row>
    <row r="25" spans="2:6" s="105" customFormat="1" ht="12.75">
      <c r="B25" s="30" t="s">
        <v>16</v>
      </c>
      <c r="C25" s="25">
        <f>(C24)</f>
        <v>107.5</v>
      </c>
      <c r="D25" s="25">
        <v>0</v>
      </c>
      <c r="E25" s="25">
        <f>IF(C24="Parallel","N/A",(C29*C24+E24))</f>
        <v>23.5</v>
      </c>
      <c r="F25" s="106" t="s">
        <v>10</v>
      </c>
    </row>
    <row r="26" spans="2:12" ht="12.75">
      <c r="B26" s="88" t="s">
        <v>109</v>
      </c>
      <c r="C26" s="93">
        <f>(-(Vehicle_Mass*Acceleration/2)*UA_Z)/(C23*(UA_Z-LA_Z)+E23*LA_X)</f>
        <v>-39301.31243645536</v>
      </c>
      <c r="D26" s="112" t="str">
        <f>IF(C26&lt;0,"lb (Compression)","lb (Tension)")</f>
        <v>lb (Compression)</v>
      </c>
      <c r="E26" s="95"/>
      <c r="F26" s="87"/>
      <c r="I26" s="92"/>
      <c r="J26" s="92"/>
      <c r="K26" s="92"/>
      <c r="L26" s="92"/>
    </row>
    <row r="27" spans="2:12" ht="12.75">
      <c r="B27" s="91" t="s">
        <v>110</v>
      </c>
      <c r="C27" s="90">
        <f>($C26*C23)</f>
        <v>-38781.30841121496</v>
      </c>
      <c r="D27" s="90">
        <f>($C26*D23)</f>
        <v>5966.355140186917</v>
      </c>
      <c r="E27" s="90">
        <f>($C26*E23)</f>
        <v>-2237.3831775700937</v>
      </c>
      <c r="F27" s="87" t="s">
        <v>11</v>
      </c>
      <c r="I27" s="92"/>
      <c r="J27" s="92"/>
      <c r="K27" s="92"/>
      <c r="L27" s="92"/>
    </row>
    <row r="28" spans="2:12" ht="12.75">
      <c r="B28" s="30" t="s">
        <v>89</v>
      </c>
      <c r="C28" s="107">
        <f>(LF_Y-LA_Y)/(LF_X-LA_X)</f>
        <v>-0.15384615384615385</v>
      </c>
      <c r="D28" s="24" t="s">
        <v>9</v>
      </c>
      <c r="E28" s="25"/>
      <c r="F28" s="106"/>
      <c r="I28" s="92"/>
      <c r="J28" s="92"/>
      <c r="K28" s="92"/>
      <c r="L28" s="92"/>
    </row>
    <row r="29" spans="2:6" s="105" customFormat="1" ht="12.75">
      <c r="B29" s="113" t="s">
        <v>88</v>
      </c>
      <c r="C29" s="122">
        <f>(LF_Z-LA_Z)/(LF_X-LA_X)</f>
        <v>0.057692307692307696</v>
      </c>
      <c r="D29" s="114" t="s">
        <v>9</v>
      </c>
      <c r="E29" s="115"/>
      <c r="F29" s="116"/>
    </row>
    <row r="30" spans="2:12" ht="15.75">
      <c r="B30" s="241" t="s">
        <v>87</v>
      </c>
      <c r="C30" s="241"/>
      <c r="D30" s="241"/>
      <c r="E30" s="241"/>
      <c r="F30" s="241"/>
      <c r="I30" s="92"/>
      <c r="J30" s="92"/>
      <c r="K30" s="92"/>
      <c r="L30" s="92"/>
    </row>
    <row r="31" spans="2:12" ht="12.75">
      <c r="B31" s="118" t="s">
        <v>8</v>
      </c>
      <c r="C31" s="119">
        <f>IF(C35="Parallel",C29*100/(C4/Wheelbase),((C36/C35)*(Wheelbase/C4))*100)</f>
        <v>67.93980972777727</v>
      </c>
      <c r="D31" s="120" t="s">
        <v>7</v>
      </c>
      <c r="E31" s="120"/>
      <c r="F31" s="121"/>
      <c r="I31" s="92"/>
      <c r="J31" s="92"/>
      <c r="K31" s="92"/>
      <c r="L31" s="92"/>
    </row>
    <row r="32" spans="2:12" ht="12.75">
      <c r="B32" s="30" t="s">
        <v>68</v>
      </c>
      <c r="C32" s="107">
        <f>IF(C24="Parallel",C29,IF(C12="Parallel",C17,(E25-E13)/(C24-C12)))</f>
        <v>-0.012546125461254607</v>
      </c>
      <c r="D32" s="86" t="str">
        <f>IF(C32&lt;0,"in/in (Roll Understeer)","in/in (Roll Oversteer)")</f>
        <v>in/in (Roll Understeer)</v>
      </c>
      <c r="E32" s="124"/>
      <c r="F32" s="125"/>
      <c r="I32" s="92"/>
      <c r="J32" s="92"/>
      <c r="K32" s="92"/>
      <c r="L32" s="92"/>
    </row>
    <row r="33" spans="2:12" ht="12.75">
      <c r="B33" s="88" t="s">
        <v>69</v>
      </c>
      <c r="C33" s="93">
        <f>IF(ISERROR((C32*-C12)+E13),(C32*-C24)+E25,(C32*-C12)+E13)</f>
        <v>24.84870848708487</v>
      </c>
      <c r="D33" s="86" t="s">
        <v>10</v>
      </c>
      <c r="E33" s="99"/>
      <c r="F33" s="100"/>
      <c r="I33" s="92"/>
      <c r="J33" s="92"/>
      <c r="K33" s="92"/>
      <c r="L33" s="92"/>
    </row>
    <row r="34" spans="2:12" ht="12.75">
      <c r="B34" s="88" t="s">
        <v>70</v>
      </c>
      <c r="C34" s="93">
        <f>(DEGREES(ATAN(C32)))</f>
        <v>-0.7188023253311524</v>
      </c>
      <c r="D34" s="86" t="str">
        <f>IF(C34&lt;0,"degrees (Roll Understeer)","degrees (Roll Oversteer)")</f>
        <v>degrees (Roll Understeer)</v>
      </c>
      <c r="F34" s="96"/>
      <c r="I34" s="92"/>
      <c r="J34" s="92"/>
      <c r="K34" s="92"/>
      <c r="L34" s="92"/>
    </row>
    <row r="35" spans="2:12" ht="12.75">
      <c r="B35" s="88" t="s">
        <v>31</v>
      </c>
      <c r="C35" s="210">
        <f>IF(ISERROR((E12-E24)*(-1/(C17-C29))),"Parallel",(E12-E24)*(-1/(C17-C29)))</f>
        <v>87.09302325581393</v>
      </c>
      <c r="D35" s="92" t="s">
        <v>10</v>
      </c>
      <c r="F35" s="96"/>
      <c r="I35" s="92"/>
      <c r="J35" s="92"/>
      <c r="K35" s="92"/>
      <c r="L35" s="92"/>
    </row>
    <row r="36" spans="2:12" ht="12.75">
      <c r="B36" s="103" t="s">
        <v>42</v>
      </c>
      <c r="C36" s="211">
        <f>IF(ISERROR((C17*C35+E12)),"Parallel",(C17*C35+E12))</f>
        <v>22.322674418604652</v>
      </c>
      <c r="D36" s="101" t="s">
        <v>10</v>
      </c>
      <c r="E36" s="101"/>
      <c r="F36" s="102"/>
      <c r="I36" s="92"/>
      <c r="J36" s="92"/>
      <c r="K36" s="92"/>
      <c r="L36" s="92"/>
    </row>
    <row r="37" spans="2:12" ht="12.75">
      <c r="B37" s="112"/>
      <c r="I37" s="92"/>
      <c r="J37" s="92"/>
      <c r="K37" s="92"/>
      <c r="L37" s="92"/>
    </row>
    <row r="38" spans="9:12" ht="12.75">
      <c r="I38" s="92"/>
      <c r="J38" s="92"/>
      <c r="K38" s="92"/>
      <c r="L38" s="92"/>
    </row>
    <row r="39" spans="9:12" ht="12.75">
      <c r="I39" s="92"/>
      <c r="J39" s="92"/>
      <c r="K39" s="92"/>
      <c r="L39" s="92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zoomScale="75" zoomScaleNormal="75" zoomScalePageLayoutView="0" workbookViewId="0" topLeftCell="B1">
      <selection activeCell="C3" sqref="C3"/>
    </sheetView>
  </sheetViews>
  <sheetFormatPr defaultColWidth="17.8515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8" t="str">
        <f>Main!B1</f>
        <v>4 Bar Linkage Calculator v3.0</v>
      </c>
      <c r="C1" s="238"/>
      <c r="D1" s="238"/>
      <c r="E1" s="238"/>
      <c r="F1" s="238"/>
      <c r="G1" s="55"/>
    </row>
    <row r="2" spans="2:7" ht="20.25">
      <c r="B2" s="9" t="s">
        <v>175</v>
      </c>
      <c r="C2" s="219">
        <v>4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v>0</v>
      </c>
      <c r="D3" s="11" t="s">
        <v>10</v>
      </c>
      <c r="E3" s="9" t="s">
        <v>145</v>
      </c>
      <c r="F3" s="215">
        <f>K21-E21</f>
        <v>0</v>
      </c>
      <c r="G3" s="11" t="s">
        <v>10</v>
      </c>
      <c r="H3" s="217" t="s">
        <v>174</v>
      </c>
      <c r="I3" s="218">
        <f>I85-I88</f>
        <v>0</v>
      </c>
    </row>
    <row r="4" spans="2:14" ht="15.75">
      <c r="B4" s="237" t="s">
        <v>98</v>
      </c>
      <c r="C4" s="237"/>
      <c r="D4" s="237"/>
      <c r="E4" s="237"/>
      <c r="F4" s="237"/>
      <c r="G4" s="31"/>
      <c r="H4" s="237" t="s">
        <v>99</v>
      </c>
      <c r="I4" s="237"/>
      <c r="J4" s="237"/>
      <c r="K4" s="237"/>
      <c r="L4" s="237"/>
      <c r="N4" s="24"/>
    </row>
    <row r="5" spans="2:14" ht="15.75">
      <c r="B5" s="37" t="s">
        <v>4</v>
      </c>
      <c r="C5" s="81" t="s">
        <v>1</v>
      </c>
      <c r="D5" s="81" t="s">
        <v>0</v>
      </c>
      <c r="E5" s="81" t="s">
        <v>5</v>
      </c>
      <c r="F5" s="82"/>
      <c r="G5" s="212"/>
      <c r="H5" s="84" t="s">
        <v>4</v>
      </c>
      <c r="I5" s="81" t="s">
        <v>1</v>
      </c>
      <c r="J5" s="81" t="s">
        <v>0</v>
      </c>
      <c r="K5" s="81" t="s">
        <v>5</v>
      </c>
      <c r="L5" s="85"/>
      <c r="N5" s="86"/>
    </row>
    <row r="6" spans="2:14" ht="12.75">
      <c r="B6" s="14" t="s">
        <v>23</v>
      </c>
      <c r="C6" s="126">
        <f>UF_X</f>
        <v>20</v>
      </c>
      <c r="D6" s="126">
        <f>UF_Y</f>
        <v>12</v>
      </c>
      <c r="E6" s="126">
        <f>UF_Z</f>
        <v>24</v>
      </c>
      <c r="F6" s="87" t="s">
        <v>10</v>
      </c>
      <c r="G6" s="112"/>
      <c r="H6" s="14" t="str">
        <f>B6</f>
        <v>Frame End</v>
      </c>
      <c r="I6" s="126">
        <f>C6</f>
        <v>20</v>
      </c>
      <c r="J6" s="126">
        <f>D6</f>
        <v>12</v>
      </c>
      <c r="K6" s="126">
        <f>E6</f>
        <v>24</v>
      </c>
      <c r="L6" s="171" t="str">
        <f>F6</f>
        <v>in</v>
      </c>
      <c r="N6" s="86"/>
    </row>
    <row r="7" spans="2:14" ht="12.75">
      <c r="B7" s="14" t="s">
        <v>24</v>
      </c>
      <c r="C7" s="126">
        <f>UA_X</f>
        <v>0</v>
      </c>
      <c r="D7" s="126">
        <f>UA_Y</f>
        <v>7</v>
      </c>
      <c r="E7" s="126">
        <f>UA_Z</f>
        <v>24.5</v>
      </c>
      <c r="F7" s="87" t="s">
        <v>10</v>
      </c>
      <c r="G7" s="112"/>
      <c r="H7" s="14" t="s">
        <v>24</v>
      </c>
      <c r="I7" s="127">
        <f>C83</f>
        <v>0</v>
      </c>
      <c r="J7" s="126">
        <f>D7</f>
        <v>7</v>
      </c>
      <c r="K7" s="127">
        <f>D83</f>
        <v>24.5</v>
      </c>
      <c r="L7" s="87" t="s">
        <v>10</v>
      </c>
      <c r="N7" s="86"/>
    </row>
    <row r="8" spans="2:14" ht="12.75">
      <c r="B8" s="14" t="s">
        <v>13</v>
      </c>
      <c r="C8" s="89">
        <f>(C6-C7)</f>
        <v>20</v>
      </c>
      <c r="D8" s="89">
        <f>(D6-D7)</f>
        <v>5</v>
      </c>
      <c r="E8" s="89">
        <f>(E6-E7)</f>
        <v>-0.5</v>
      </c>
      <c r="F8" s="87" t="s">
        <v>10</v>
      </c>
      <c r="G8" s="112"/>
      <c r="H8" s="88" t="s">
        <v>13</v>
      </c>
      <c r="I8" s="89">
        <f>(I6-I7)</f>
        <v>20</v>
      </c>
      <c r="J8" s="89">
        <f>(J6-J7)</f>
        <v>5</v>
      </c>
      <c r="K8" s="89">
        <f>(K6-K7)</f>
        <v>-0.5</v>
      </c>
      <c r="L8" s="87" t="s">
        <v>10</v>
      </c>
      <c r="N8" s="86"/>
    </row>
    <row r="9" spans="2:14" ht="12.75">
      <c r="B9" s="30" t="s">
        <v>108</v>
      </c>
      <c r="C9" s="90">
        <f>(C8^2+D8^2+E8^2)^(0.5)</f>
        <v>20.62159062730128</v>
      </c>
      <c r="D9" s="86" t="s">
        <v>10</v>
      </c>
      <c r="E9" s="90"/>
      <c r="F9" s="87"/>
      <c r="G9" s="112"/>
      <c r="H9" s="91" t="s">
        <v>108</v>
      </c>
      <c r="I9" s="90">
        <f>(I8^2+J8^2+K8^2)^(0.5)</f>
        <v>20.62159062730128</v>
      </c>
      <c r="J9" s="86" t="s">
        <v>10</v>
      </c>
      <c r="K9" s="90"/>
      <c r="L9" s="87"/>
      <c r="N9" s="86"/>
    </row>
    <row r="10" spans="2:14" ht="12.75">
      <c r="B10" s="30" t="s">
        <v>113</v>
      </c>
      <c r="C10" s="90">
        <f>SQRT((E7-E21)^2+(C7-C21)^2)</f>
        <v>7.826237921249264</v>
      </c>
      <c r="D10" s="86"/>
      <c r="E10" s="90"/>
      <c r="F10" s="87"/>
      <c r="G10" s="112"/>
      <c r="H10" s="91" t="s">
        <v>113</v>
      </c>
      <c r="I10" s="90">
        <f>SQRT((K7-K21)^2+(I7-I21)^2)</f>
        <v>7.826237921249264</v>
      </c>
      <c r="J10" s="86"/>
      <c r="K10" s="90"/>
      <c r="L10" s="87"/>
      <c r="N10" s="86"/>
    </row>
    <row r="11" spans="2:14" ht="15.75">
      <c r="B11" s="30"/>
      <c r="C11" s="90"/>
      <c r="D11" s="86"/>
      <c r="E11" s="90"/>
      <c r="F11" s="87"/>
      <c r="G11" s="112"/>
      <c r="H11" s="88" t="s">
        <v>93</v>
      </c>
      <c r="I11" s="92">
        <f>(C9-I9)</f>
        <v>0</v>
      </c>
      <c r="J11" s="92" t="s">
        <v>10</v>
      </c>
      <c r="K11" s="90"/>
      <c r="L11" s="87"/>
      <c r="N11" s="86"/>
    </row>
    <row r="12" spans="2:14" s="105" customFormat="1" ht="12.75">
      <c r="B12" s="30" t="s">
        <v>14</v>
      </c>
      <c r="C12" s="25">
        <f>(C8/$C$9)</f>
        <v>0.9698572899377439</v>
      </c>
      <c r="D12" s="25">
        <f>(D8/$C$9)</f>
        <v>0.24246432248443597</v>
      </c>
      <c r="E12" s="25">
        <f>(E8/$C$9)</f>
        <v>-0.024246432248443597</v>
      </c>
      <c r="F12" s="26">
        <f>(C12^2+D12^2+E12^2)^0.5</f>
        <v>1</v>
      </c>
      <c r="G12" s="24"/>
      <c r="H12" s="30" t="s">
        <v>14</v>
      </c>
      <c r="I12" s="25">
        <f>(I8/$I$9)</f>
        <v>0.9698572899377439</v>
      </c>
      <c r="J12" s="25">
        <f>(J8/$I$9)</f>
        <v>0.24246432248443597</v>
      </c>
      <c r="K12" s="25">
        <f>(K8/$I$9)</f>
        <v>-0.024246432248443597</v>
      </c>
      <c r="L12" s="26">
        <f>(I12^2+J12^2+K12^2)^0.5</f>
        <v>1</v>
      </c>
      <c r="N12" s="24"/>
    </row>
    <row r="13" spans="2:14" s="105" customFormat="1" ht="12.75">
      <c r="B13" s="30" t="s">
        <v>15</v>
      </c>
      <c r="C13" s="25">
        <f>INTERCEPT(C6:C7,D6:D7)</f>
        <v>-28</v>
      </c>
      <c r="D13" s="25">
        <f>INTERCEPT(D6:D7,C6:C7)</f>
        <v>7</v>
      </c>
      <c r="E13" s="25">
        <f>INTERCEPT(E6:E7,C6:C7)</f>
        <v>24.5</v>
      </c>
      <c r="F13" s="106" t="s">
        <v>10</v>
      </c>
      <c r="G13" s="213"/>
      <c r="H13" s="30" t="s">
        <v>15</v>
      </c>
      <c r="I13" s="25">
        <f>INTERCEPT(I6:I7,J6:J7)</f>
        <v>-28</v>
      </c>
      <c r="J13" s="25">
        <f>INTERCEPT(J6:J7,I6:I7)</f>
        <v>7</v>
      </c>
      <c r="K13" s="25">
        <f>INTERCEPT(K6:K7,I6:I7)</f>
        <v>24.5</v>
      </c>
      <c r="L13" s="106" t="s">
        <v>10</v>
      </c>
      <c r="N13" s="24"/>
    </row>
    <row r="14" spans="2:14" s="105" customFormat="1" ht="12.75">
      <c r="B14" s="30" t="s">
        <v>16</v>
      </c>
      <c r="C14" s="25">
        <f>(C13)</f>
        <v>-28</v>
      </c>
      <c r="D14" s="25">
        <v>0</v>
      </c>
      <c r="E14" s="25">
        <f>(C17*C13+E13)</f>
        <v>25.2</v>
      </c>
      <c r="F14" s="106" t="s">
        <v>10</v>
      </c>
      <c r="G14" s="213"/>
      <c r="H14" s="30" t="s">
        <v>16</v>
      </c>
      <c r="I14" s="25">
        <f>(I13)</f>
        <v>-28</v>
      </c>
      <c r="J14" s="25">
        <v>0</v>
      </c>
      <c r="K14" s="25">
        <f>(I17*I13+K13)</f>
        <v>25.2</v>
      </c>
      <c r="L14" s="106" t="s">
        <v>10</v>
      </c>
      <c r="N14" s="24"/>
    </row>
    <row r="15" spans="2:14" ht="12.75">
      <c r="B15" s="30"/>
      <c r="C15" s="197"/>
      <c r="D15" s="197"/>
      <c r="E15" s="197"/>
      <c r="F15" s="87"/>
      <c r="G15" s="112"/>
      <c r="H15" s="91"/>
      <c r="I15" s="90"/>
      <c r="J15" s="90"/>
      <c r="K15" s="90"/>
      <c r="L15" s="87"/>
      <c r="N15" s="86"/>
    </row>
    <row r="16" spans="2:14" s="105" customFormat="1" ht="12.75">
      <c r="B16" s="30" t="s">
        <v>89</v>
      </c>
      <c r="C16" s="107">
        <f>(D6-D7)/(C6-C7)</f>
        <v>0.25</v>
      </c>
      <c r="D16" s="24" t="s">
        <v>9</v>
      </c>
      <c r="E16" s="25"/>
      <c r="F16" s="106"/>
      <c r="G16" s="213"/>
      <c r="H16" s="30" t="s">
        <v>89</v>
      </c>
      <c r="I16" s="107">
        <f>(J6-J7)/(I6-I7)</f>
        <v>0.25</v>
      </c>
      <c r="J16" s="24" t="s">
        <v>9</v>
      </c>
      <c r="K16" s="25"/>
      <c r="L16" s="106"/>
      <c r="N16" s="24"/>
    </row>
    <row r="17" spans="2:29" s="105" customFormat="1" ht="12.75">
      <c r="B17" s="30" t="s">
        <v>88</v>
      </c>
      <c r="C17" s="107">
        <f>(E6-E7)/(C6-C7)</f>
        <v>-0.025</v>
      </c>
      <c r="D17" s="24" t="s">
        <v>9</v>
      </c>
      <c r="E17" s="25"/>
      <c r="F17" s="106"/>
      <c r="G17" s="213"/>
      <c r="H17" s="30" t="s">
        <v>88</v>
      </c>
      <c r="I17" s="107">
        <f>(K6-K7)/(I6-I7)</f>
        <v>-0.025</v>
      </c>
      <c r="J17" s="24" t="s">
        <v>9</v>
      </c>
      <c r="K17" s="25"/>
      <c r="L17" s="106"/>
      <c r="N17" s="24"/>
      <c r="AA17" s="107"/>
      <c r="AB17" s="107"/>
      <c r="AC17" s="107"/>
    </row>
    <row r="18" spans="2:14" ht="12.75">
      <c r="B18" s="14" t="s">
        <v>17</v>
      </c>
      <c r="C18" s="196">
        <f>((Main!$C$7/2)*E21)/(C12*(E7-E21)+E12*C7)</f>
        <v>4897.627773984054</v>
      </c>
      <c r="D18" s="94" t="s">
        <v>11</v>
      </c>
      <c r="E18" s="95"/>
      <c r="F18" s="96"/>
      <c r="G18" s="92"/>
      <c r="H18" s="88" t="s">
        <v>17</v>
      </c>
      <c r="I18" s="196">
        <f>((Main!$C$7/2)*K21)/(I12*(K7-K21)+K12*I7)</f>
        <v>4897.627773984054</v>
      </c>
      <c r="J18" s="94" t="s">
        <v>11</v>
      </c>
      <c r="K18" s="95"/>
      <c r="L18" s="96"/>
      <c r="N18" s="92"/>
    </row>
    <row r="19" spans="2:14" ht="15.75">
      <c r="B19" s="50" t="s">
        <v>6</v>
      </c>
      <c r="C19" s="95" t="s">
        <v>1</v>
      </c>
      <c r="D19" s="95" t="s">
        <v>0</v>
      </c>
      <c r="E19" s="95" t="s">
        <v>5</v>
      </c>
      <c r="F19" s="87"/>
      <c r="G19" s="112"/>
      <c r="H19" s="97" t="s">
        <v>6</v>
      </c>
      <c r="I19" s="95" t="s">
        <v>1</v>
      </c>
      <c r="J19" s="95" t="s">
        <v>0</v>
      </c>
      <c r="K19" s="95" t="s">
        <v>5</v>
      </c>
      <c r="L19" s="87"/>
      <c r="N19" s="92"/>
    </row>
    <row r="20" spans="2:14" ht="12.75">
      <c r="B20" s="14" t="s">
        <v>23</v>
      </c>
      <c r="C20" s="126">
        <f>Main!G7</f>
        <v>29.5</v>
      </c>
      <c r="D20" s="126">
        <f>Main!H7</f>
        <v>12</v>
      </c>
      <c r="E20" s="126">
        <f>Main!I7</f>
        <v>19</v>
      </c>
      <c r="F20" s="87" t="s">
        <v>10</v>
      </c>
      <c r="G20" s="112"/>
      <c r="H20" s="88" t="s">
        <v>23</v>
      </c>
      <c r="I20" s="126">
        <f>$C$20</f>
        <v>29.5</v>
      </c>
      <c r="J20" s="126">
        <f>$D$20</f>
        <v>12</v>
      </c>
      <c r="K20" s="126">
        <f>$E$20</f>
        <v>19</v>
      </c>
      <c r="L20" s="87" t="s">
        <v>10</v>
      </c>
      <c r="N20" s="92"/>
    </row>
    <row r="21" spans="2:14" ht="12.75">
      <c r="B21" s="14" t="s">
        <v>24</v>
      </c>
      <c r="C21" s="126">
        <f>Main!G8</f>
        <v>3.5</v>
      </c>
      <c r="D21" s="126">
        <f>Main!H8</f>
        <v>16</v>
      </c>
      <c r="E21" s="126">
        <f>Main!I8</f>
        <v>17.5</v>
      </c>
      <c r="F21" s="87" t="s">
        <v>10</v>
      </c>
      <c r="G21" s="112"/>
      <c r="H21" s="88" t="s">
        <v>24</v>
      </c>
      <c r="I21" s="127">
        <f>C81</f>
        <v>3.5</v>
      </c>
      <c r="J21" s="126">
        <f>$D$21</f>
        <v>16</v>
      </c>
      <c r="K21" s="127">
        <f>D81</f>
        <v>17.5</v>
      </c>
      <c r="L21" s="87" t="s">
        <v>10</v>
      </c>
      <c r="N21" s="92"/>
    </row>
    <row r="22" spans="2:14" ht="12.75">
      <c r="B22" s="30" t="s">
        <v>13</v>
      </c>
      <c r="C22" s="89">
        <f>(C20-C21)</f>
        <v>26</v>
      </c>
      <c r="D22" s="89">
        <f>(D20-D21)</f>
        <v>-4</v>
      </c>
      <c r="E22" s="89">
        <f>(E20-E21)</f>
        <v>1.5</v>
      </c>
      <c r="F22" s="87" t="s">
        <v>10</v>
      </c>
      <c r="G22" s="112"/>
      <c r="H22" s="91" t="s">
        <v>13</v>
      </c>
      <c r="I22" s="89">
        <f>(I20-I21)</f>
        <v>26</v>
      </c>
      <c r="J22" s="89">
        <f>(J20-J21)</f>
        <v>-4</v>
      </c>
      <c r="K22" s="89">
        <f>(K20-K21)</f>
        <v>1.5</v>
      </c>
      <c r="L22" s="87" t="s">
        <v>10</v>
      </c>
      <c r="N22" s="92"/>
    </row>
    <row r="23" spans="2:29" s="5" customFormat="1" ht="12.75">
      <c r="B23" s="30" t="s">
        <v>43</v>
      </c>
      <c r="C23" s="90">
        <f>(C22^2+D22^2+E22^2)^(0.5)</f>
        <v>26.348624252510795</v>
      </c>
      <c r="D23" s="86" t="s">
        <v>10</v>
      </c>
      <c r="E23" s="90"/>
      <c r="F23" s="87"/>
      <c r="G23" s="112"/>
      <c r="H23" s="91" t="s">
        <v>43</v>
      </c>
      <c r="I23" s="90">
        <f>(I22^2+J22^2+K22^2)^(0.5)</f>
        <v>26.348624252510795</v>
      </c>
      <c r="J23" s="86" t="s">
        <v>10</v>
      </c>
      <c r="K23" s="90"/>
      <c r="L23" s="87"/>
      <c r="N23" s="92"/>
      <c r="AA23" s="10"/>
      <c r="AB23" s="10"/>
      <c r="AC23" s="10"/>
    </row>
    <row r="24" spans="2:29" s="107" customFormat="1" ht="12.75">
      <c r="B24" s="30" t="s">
        <v>14</v>
      </c>
      <c r="C24" s="25">
        <f>(C22/$C$23)</f>
        <v>0.986768787274441</v>
      </c>
      <c r="D24" s="25">
        <f>(D22/$C$23)</f>
        <v>-0.1518105826576063</v>
      </c>
      <c r="E24" s="25">
        <f>(E22/$C$23)</f>
        <v>0.05692896849660236</v>
      </c>
      <c r="F24" s="26">
        <f>(C24^2+D24^2+E24^2)^0.5</f>
        <v>1</v>
      </c>
      <c r="G24" s="24"/>
      <c r="H24" s="30" t="s">
        <v>14</v>
      </c>
      <c r="I24" s="25">
        <f>(I22/I23)</f>
        <v>0.986768787274441</v>
      </c>
      <c r="J24" s="25">
        <f>(J22/I23)</f>
        <v>-0.1518105826576063</v>
      </c>
      <c r="K24" s="25">
        <f>(K22/I23)</f>
        <v>0.05692896849660236</v>
      </c>
      <c r="L24" s="26">
        <f>(I24^2+J24^2+K24^2)^0.5</f>
        <v>1</v>
      </c>
      <c r="N24" s="105"/>
      <c r="AA24" s="105"/>
      <c r="AB24" s="105"/>
      <c r="AC24" s="105"/>
    </row>
    <row r="25" spans="2:14" ht="12.75">
      <c r="B25" s="30" t="s">
        <v>15</v>
      </c>
      <c r="C25" s="90">
        <f>INTERCEPT(C20:C21,D20:D21)</f>
        <v>107.5</v>
      </c>
      <c r="D25" s="90">
        <f>INTERCEPT(D20:D21,C20:C21)</f>
        <v>16.53846153846154</v>
      </c>
      <c r="E25" s="90">
        <f>INTERCEPT(E20:E21,C20:C21)</f>
        <v>17.298076923076923</v>
      </c>
      <c r="F25" s="87" t="s">
        <v>10</v>
      </c>
      <c r="G25" s="112"/>
      <c r="H25" s="91" t="s">
        <v>15</v>
      </c>
      <c r="I25" s="90">
        <f>INTERCEPT(I20:I21,J20:J21)</f>
        <v>107.5</v>
      </c>
      <c r="J25" s="90">
        <f>INTERCEPT(J20:J21,I20:I21)</f>
        <v>16.53846153846154</v>
      </c>
      <c r="K25" s="90">
        <f>INTERCEPT(K20:K21,I20:I21)</f>
        <v>17.298076923076923</v>
      </c>
      <c r="L25" s="87" t="s">
        <v>10</v>
      </c>
      <c r="N25" s="86"/>
    </row>
    <row r="26" spans="2:14" ht="12.75">
      <c r="B26" s="30" t="s">
        <v>16</v>
      </c>
      <c r="C26" s="90">
        <f>(C25)</f>
        <v>107.5</v>
      </c>
      <c r="D26" s="90">
        <v>0</v>
      </c>
      <c r="E26" s="90">
        <f>(C28*C25+E25)</f>
        <v>23.5</v>
      </c>
      <c r="F26" s="87" t="s">
        <v>10</v>
      </c>
      <c r="G26" s="112"/>
      <c r="H26" s="91" t="s">
        <v>16</v>
      </c>
      <c r="I26" s="90">
        <f>(I25)</f>
        <v>107.5</v>
      </c>
      <c r="J26" s="90">
        <v>0</v>
      </c>
      <c r="K26" s="90">
        <f>(I28*I25+K25)</f>
        <v>23.5</v>
      </c>
      <c r="L26" s="87" t="s">
        <v>10</v>
      </c>
      <c r="N26" s="92"/>
    </row>
    <row r="27" spans="2:12" s="105" customFormat="1" ht="12.75">
      <c r="B27" s="30" t="s">
        <v>89</v>
      </c>
      <c r="C27" s="107">
        <f>(D20-D21)/(C20-C21)</f>
        <v>-0.15384615384615385</v>
      </c>
      <c r="D27" s="24" t="s">
        <v>9</v>
      </c>
      <c r="E27" s="25"/>
      <c r="F27" s="106"/>
      <c r="G27" s="213"/>
      <c r="H27" s="30" t="s">
        <v>89</v>
      </c>
      <c r="I27" s="107">
        <f>(J20-J21)/(I20-I21)</f>
        <v>-0.15384615384615385</v>
      </c>
      <c r="J27" s="24" t="s">
        <v>9</v>
      </c>
      <c r="K27" s="25"/>
      <c r="L27" s="106"/>
    </row>
    <row r="28" spans="2:12" s="105" customFormat="1" ht="12.75">
      <c r="B28" s="30" t="s">
        <v>88</v>
      </c>
      <c r="C28" s="107">
        <f>(E20-E21)/(C20-C21)</f>
        <v>0.057692307692307696</v>
      </c>
      <c r="D28" s="24" t="s">
        <v>9</v>
      </c>
      <c r="E28" s="25"/>
      <c r="F28" s="106"/>
      <c r="G28" s="213"/>
      <c r="H28" s="30" t="s">
        <v>88</v>
      </c>
      <c r="I28" s="107">
        <f>(K20-K21)/(I20-I21)</f>
        <v>0.057692307692307696</v>
      </c>
      <c r="J28" s="24" t="s">
        <v>9</v>
      </c>
      <c r="K28" s="25"/>
      <c r="L28" s="106"/>
    </row>
    <row r="29" spans="2:14" ht="15.75">
      <c r="B29" s="246" t="s">
        <v>87</v>
      </c>
      <c r="C29" s="247"/>
      <c r="D29" s="92"/>
      <c r="E29" s="92"/>
      <c r="F29" s="96"/>
      <c r="G29" s="92"/>
      <c r="H29" s="248" t="s">
        <v>87</v>
      </c>
      <c r="I29" s="249"/>
      <c r="J29" s="92"/>
      <c r="K29" s="92"/>
      <c r="L29" s="96"/>
      <c r="N29" s="92"/>
    </row>
    <row r="30" spans="2:14" ht="12.75">
      <c r="B30" s="14" t="s">
        <v>8</v>
      </c>
      <c r="C30" s="236">
        <f>((C35/C34)*(Main!$C$3/VectorCalculations!$C$4))*100</f>
        <v>67.93980972777727</v>
      </c>
      <c r="D30" s="99" t="s">
        <v>7</v>
      </c>
      <c r="E30" s="99"/>
      <c r="F30" s="100"/>
      <c r="G30" s="99"/>
      <c r="H30" s="88" t="s">
        <v>8</v>
      </c>
      <c r="I30" s="236">
        <f>(((I35-$C$3)/I34)*(Main!$C$3/(VectorCalculations!$C$4-$C$3)))*100</f>
        <v>67.93980972777727</v>
      </c>
      <c r="J30" s="99" t="s">
        <v>7</v>
      </c>
      <c r="K30" s="99"/>
      <c r="L30" s="100"/>
      <c r="N30" s="92"/>
    </row>
    <row r="31" spans="2:14" ht="12.75">
      <c r="B31" s="30" t="s">
        <v>68</v>
      </c>
      <c r="C31" s="165">
        <f>IF(ISERROR((E26-E14)/(C25-C13)),C17,(E26-E14)/(C25-C13))</f>
        <v>-0.012546125461254607</v>
      </c>
      <c r="D31" s="243" t="str">
        <f>IF(C31&lt;0,"in/in (Roll Understeer)","in/in (Roll Oversteer)")</f>
        <v>in/in (Roll Understeer)</v>
      </c>
      <c r="E31" s="244"/>
      <c r="F31" s="245"/>
      <c r="G31" s="86"/>
      <c r="H31" s="91" t="s">
        <v>68</v>
      </c>
      <c r="I31" s="165">
        <f>IF(ISERROR((K26-K14)/(I25-I13)),I17,(K26-K14)/(I25-I13))</f>
        <v>-0.012546125461254607</v>
      </c>
      <c r="J31" s="243" t="str">
        <f>IF(I31&lt;0,"in/in (Roll Understeer)","in/in (Roll Oversteer)")</f>
        <v>in/in (Roll Understeer)</v>
      </c>
      <c r="K31" s="244"/>
      <c r="L31" s="245"/>
      <c r="N31" s="92"/>
    </row>
    <row r="32" spans="2:14" ht="12.75">
      <c r="B32" s="14" t="s">
        <v>69</v>
      </c>
      <c r="C32" s="98">
        <f>(C31*-C13)+E14</f>
        <v>24.84870848708487</v>
      </c>
      <c r="D32" s="86" t="s">
        <v>10</v>
      </c>
      <c r="E32" s="99"/>
      <c r="F32" s="100"/>
      <c r="G32" s="99"/>
      <c r="H32" s="88" t="s">
        <v>69</v>
      </c>
      <c r="I32" s="98">
        <f>(I31*-I13)+K14</f>
        <v>24.84870848708487</v>
      </c>
      <c r="J32" s="86" t="s">
        <v>10</v>
      </c>
      <c r="K32" s="99"/>
      <c r="L32" s="100"/>
      <c r="N32" s="92"/>
    </row>
    <row r="33" spans="2:14" ht="12.75">
      <c r="B33" s="14" t="s">
        <v>70</v>
      </c>
      <c r="C33" s="98">
        <f>(DEGREES(ATAN(C31)))</f>
        <v>-0.7188023253311524</v>
      </c>
      <c r="D33" s="243" t="str">
        <f>IF(C33&lt;0,"degrees (Roll Understeer)","degrees (Roll Oversteer)")</f>
        <v>degrees (Roll Understeer)</v>
      </c>
      <c r="E33" s="244"/>
      <c r="F33" s="245"/>
      <c r="G33" s="86"/>
      <c r="H33" s="88" t="s">
        <v>70</v>
      </c>
      <c r="I33" s="98">
        <f>(DEGREES(ATAN(I31)))</f>
        <v>-0.7188023253311524</v>
      </c>
      <c r="J33" s="243" t="str">
        <f>IF(I33&lt;0,"degrees (Roll Understeer)","degrees (Roll Oversteer)")</f>
        <v>degrees (Roll Understeer)</v>
      </c>
      <c r="K33" s="244"/>
      <c r="L33" s="245"/>
      <c r="N33" s="92"/>
    </row>
    <row r="34" spans="2:14" ht="12.75">
      <c r="B34" s="14" t="s">
        <v>31</v>
      </c>
      <c r="C34" s="206">
        <f>(E13-E25)*(-1/(C17-C28))</f>
        <v>87.09302325581393</v>
      </c>
      <c r="D34" s="92" t="s">
        <v>10</v>
      </c>
      <c r="E34" s="92"/>
      <c r="F34" s="96"/>
      <c r="G34" s="92"/>
      <c r="H34" s="88" t="s">
        <v>31</v>
      </c>
      <c r="I34" s="206">
        <f>(K13-K25)*(-1/(I17-I28))</f>
        <v>87.09302325581393</v>
      </c>
      <c r="J34" s="92" t="s">
        <v>10</v>
      </c>
      <c r="K34" s="92"/>
      <c r="L34" s="96"/>
      <c r="N34" s="92"/>
    </row>
    <row r="35" spans="2:14" ht="12.75">
      <c r="B35" s="18" t="s">
        <v>42</v>
      </c>
      <c r="C35" s="206">
        <f>(C17*C34+E13)</f>
        <v>22.322674418604652</v>
      </c>
      <c r="D35" s="101" t="s">
        <v>10</v>
      </c>
      <c r="E35" s="101"/>
      <c r="F35" s="102"/>
      <c r="G35" s="101"/>
      <c r="H35" s="103" t="s">
        <v>42</v>
      </c>
      <c r="I35" s="206">
        <f>(I17*I34+K13)</f>
        <v>22.322674418604652</v>
      </c>
      <c r="J35" s="101" t="s">
        <v>10</v>
      </c>
      <c r="K35" s="101"/>
      <c r="L35" s="102"/>
      <c r="N35" s="92"/>
    </row>
    <row r="36" ht="12.75"/>
    <row r="37" spans="2:14" ht="12.75">
      <c r="B37" s="191" t="s">
        <v>77</v>
      </c>
      <c r="C37" s="174"/>
      <c r="D37" s="174"/>
      <c r="E37" s="174"/>
      <c r="F37" s="174"/>
      <c r="G37" s="174"/>
      <c r="H37" s="174"/>
      <c r="I37" s="174"/>
      <c r="J37" s="174"/>
      <c r="K37" s="175"/>
      <c r="L37" s="173" t="s">
        <v>78</v>
      </c>
      <c r="M37" s="174"/>
      <c r="N37" s="175"/>
    </row>
    <row r="38" spans="2:14" ht="12.75">
      <c r="B38" s="192"/>
      <c r="C38" s="180" t="s">
        <v>71</v>
      </c>
      <c r="D38" s="181"/>
      <c r="E38" s="180" t="s">
        <v>72</v>
      </c>
      <c r="F38" s="181"/>
      <c r="G38" s="188"/>
      <c r="H38" s="180" t="s">
        <v>74</v>
      </c>
      <c r="I38" s="181"/>
      <c r="J38" s="172" t="s">
        <v>124</v>
      </c>
      <c r="K38" s="205">
        <f>Wheelbase*20</f>
        <v>2000</v>
      </c>
      <c r="L38" s="183" t="s">
        <v>84</v>
      </c>
      <c r="M38" s="184">
        <v>80</v>
      </c>
      <c r="N38" s="185"/>
    </row>
    <row r="39" spans="2:16" ht="12.75">
      <c r="B39" s="193" t="s">
        <v>80</v>
      </c>
      <c r="C39" s="66" t="s">
        <v>1</v>
      </c>
      <c r="D39" s="67" t="s">
        <v>5</v>
      </c>
      <c r="E39" s="66" t="s">
        <v>1</v>
      </c>
      <c r="F39" s="67" t="s">
        <v>5</v>
      </c>
      <c r="G39" s="187"/>
      <c r="H39" s="66" t="s">
        <v>1</v>
      </c>
      <c r="I39" s="67" t="s">
        <v>5</v>
      </c>
      <c r="J39" s="180" t="s">
        <v>102</v>
      </c>
      <c r="K39" s="186">
        <v>3.5</v>
      </c>
      <c r="L39" s="180" t="s">
        <v>4</v>
      </c>
      <c r="M39" s="188"/>
      <c r="N39" s="181"/>
      <c r="O39" s="10" t="s">
        <v>1</v>
      </c>
      <c r="P39" s="10">
        <f>I21-C21</f>
        <v>0</v>
      </c>
    </row>
    <row r="40" spans="2:20" ht="12.75">
      <c r="B40" s="193">
        <v>0</v>
      </c>
      <c r="C40" s="66">
        <f aca="true" t="shared" si="0" ref="C40:C64">(Wheelbase-(SIN(RADIANS(B40)))*(Tire_Diameter/2))</f>
        <v>100</v>
      </c>
      <c r="D40" s="67">
        <f aca="true" t="shared" si="1" ref="D40:D64">IF((Tire_Rolling_Radius-((COS(RADIANS(B40)))*(Tire_Diameter/2)))&lt;0,0,(Tire_Rolling_Radius-((COS(RADIANS(B40)))*(Tire_Diameter/2))))</f>
        <v>0</v>
      </c>
      <c r="E40" s="66">
        <f aca="true" t="shared" si="2" ref="E40:E64">((SIN(RADIANS(B40)))*(Tire_Diameter/2))+$P$39</f>
        <v>0</v>
      </c>
      <c r="F40" s="67">
        <f>(D40)+$C$3</f>
        <v>0</v>
      </c>
      <c r="G40" s="187"/>
      <c r="H40" s="66">
        <f>I6</f>
        <v>20</v>
      </c>
      <c r="I40" s="67">
        <f>K6</f>
        <v>24</v>
      </c>
      <c r="J40" s="66" t="s">
        <v>1</v>
      </c>
      <c r="K40" s="67" t="s">
        <v>5</v>
      </c>
      <c r="L40" s="66" t="s">
        <v>1</v>
      </c>
      <c r="M40" s="187" t="s">
        <v>0</v>
      </c>
      <c r="N40" s="67" t="s">
        <v>85</v>
      </c>
      <c r="P40" s="172"/>
      <c r="Q40" s="172"/>
      <c r="R40" s="172"/>
      <c r="S40" s="172"/>
      <c r="T40" s="172"/>
    </row>
    <row r="41" spans="2:20" ht="12.75">
      <c r="B41" s="193">
        <v>15</v>
      </c>
      <c r="C41" s="66">
        <f t="shared" si="0"/>
        <v>95.47066671070588</v>
      </c>
      <c r="D41" s="67">
        <f t="shared" si="1"/>
        <v>0.5962980399413063</v>
      </c>
      <c r="E41" s="66">
        <f t="shared" si="2"/>
        <v>4.529333289294113</v>
      </c>
      <c r="F41" s="67">
        <f aca="true" t="shared" si="3" ref="F41:F64">(D41)+$C$3</f>
        <v>0.5962980399413063</v>
      </c>
      <c r="G41" s="187"/>
      <c r="H41" s="64">
        <f>IF(ABS(I34)&gt;K38,$K$38,I34)</f>
        <v>87.09302325581393</v>
      </c>
      <c r="I41" s="65">
        <f>IF(H41=K38,H41*I17+K7,I35)</f>
        <v>22.322674418604652</v>
      </c>
      <c r="J41" s="66">
        <f>SIN(RADIANS(B40))*$K$39/2+P39</f>
        <v>0</v>
      </c>
      <c r="K41" s="67">
        <f>(COS(RADIANS(B40))*$K$39/2)+Tire_Rolling_Radius+$C$3</f>
        <v>19.25</v>
      </c>
      <c r="L41" s="66">
        <f>I6</f>
        <v>20</v>
      </c>
      <c r="M41" s="187">
        <f>J6</f>
        <v>12</v>
      </c>
      <c r="N41" s="67">
        <f>(M41+$M$38)</f>
        <v>92</v>
      </c>
      <c r="P41" s="177"/>
      <c r="Q41" s="177"/>
      <c r="R41" s="177"/>
      <c r="S41" s="177"/>
      <c r="T41" s="177"/>
    </row>
    <row r="42" spans="2:20" ht="12.75">
      <c r="B42" s="193">
        <v>30</v>
      </c>
      <c r="C42" s="66">
        <f t="shared" si="0"/>
        <v>91.25</v>
      </c>
      <c r="D42" s="67">
        <f t="shared" si="1"/>
        <v>2.3445554337723227</v>
      </c>
      <c r="E42" s="66">
        <f t="shared" si="2"/>
        <v>8.749999999999998</v>
      </c>
      <c r="F42" s="67">
        <f t="shared" si="3"/>
        <v>2.3445554337723227</v>
      </c>
      <c r="G42" s="187"/>
      <c r="H42" s="180" t="s">
        <v>73</v>
      </c>
      <c r="I42" s="181"/>
      <c r="J42" s="66">
        <f>SIN(RADIANS(B42))*$K$39/2+P39</f>
        <v>0.8749999999999999</v>
      </c>
      <c r="K42" s="67">
        <f>(COS(RADIANS(B42))*$K$39/2)+Tire_Rolling_Radius+$C$3</f>
        <v>19.015544456622766</v>
      </c>
      <c r="L42" s="66">
        <f>I7</f>
        <v>0</v>
      </c>
      <c r="M42" s="187">
        <f>J7</f>
        <v>7</v>
      </c>
      <c r="N42" s="67">
        <f>(M42+$M$38)</f>
        <v>87</v>
      </c>
      <c r="P42" s="172"/>
      <c r="Q42" s="172"/>
      <c r="R42" s="172"/>
      <c r="S42" s="172"/>
      <c r="T42" s="172"/>
    </row>
    <row r="43" spans="2:20" ht="12.75">
      <c r="B43" s="193">
        <v>45</v>
      </c>
      <c r="C43" s="66">
        <f t="shared" si="0"/>
        <v>87.62563132923542</v>
      </c>
      <c r="D43" s="67">
        <f t="shared" si="1"/>
        <v>5.125631329235418</v>
      </c>
      <c r="E43" s="66">
        <f t="shared" si="2"/>
        <v>12.37436867076458</v>
      </c>
      <c r="F43" s="67">
        <f t="shared" si="3"/>
        <v>5.125631329235418</v>
      </c>
      <c r="G43" s="187"/>
      <c r="H43" s="66" t="s">
        <v>1</v>
      </c>
      <c r="I43" s="67" t="s">
        <v>5</v>
      </c>
      <c r="J43" s="66">
        <f>SIN(RADIANS(B44))*$K$39/2+P39</f>
        <v>1.5155444566227676</v>
      </c>
      <c r="K43" s="67">
        <f>(COS(RADIANS(B44))*$K$39/2)+Tire_Rolling_Radius+$C$3</f>
        <v>18.375</v>
      </c>
      <c r="L43" s="66">
        <f>I6</f>
        <v>20</v>
      </c>
      <c r="M43" s="187">
        <f>(-M41)</f>
        <v>-12</v>
      </c>
      <c r="N43" s="67">
        <f>(M43+$M$38)</f>
        <v>68</v>
      </c>
      <c r="P43" s="172"/>
      <c r="Q43" s="172"/>
      <c r="R43" s="172"/>
      <c r="S43" s="172"/>
      <c r="T43" s="172"/>
    </row>
    <row r="44" spans="2:20" ht="12.75">
      <c r="B44" s="193">
        <v>60</v>
      </c>
      <c r="C44" s="66">
        <f t="shared" si="0"/>
        <v>84.84455543377233</v>
      </c>
      <c r="D44" s="67">
        <f t="shared" si="1"/>
        <v>8.749999999999998</v>
      </c>
      <c r="E44" s="66">
        <f t="shared" si="2"/>
        <v>15.155444566227676</v>
      </c>
      <c r="F44" s="67">
        <f t="shared" si="3"/>
        <v>8.749999999999998</v>
      </c>
      <c r="G44" s="187"/>
      <c r="H44" s="66">
        <f>I20</f>
        <v>29.5</v>
      </c>
      <c r="I44" s="67">
        <f>K20</f>
        <v>19</v>
      </c>
      <c r="J44" s="66">
        <f>SIN(RADIANS(B46))*$K$39/2+P39</f>
        <v>1.75</v>
      </c>
      <c r="K44" s="67">
        <f>(COS(RADIANS(B46))*$K$39/2)+Tire_Rolling_Radius+$C$3</f>
        <v>17.5</v>
      </c>
      <c r="L44" s="64">
        <f>I7</f>
        <v>0</v>
      </c>
      <c r="M44" s="189">
        <f>(-M42)</f>
        <v>-7</v>
      </c>
      <c r="N44" s="65">
        <f>(M44+$M$38)</f>
        <v>73</v>
      </c>
      <c r="P44" s="172"/>
      <c r="Q44" s="172"/>
      <c r="R44" s="172"/>
      <c r="S44" s="172"/>
      <c r="T44" s="172"/>
    </row>
    <row r="45" spans="2:20" ht="12.75">
      <c r="B45" s="193">
        <v>75</v>
      </c>
      <c r="C45" s="66">
        <f t="shared" si="0"/>
        <v>83.0962980399413</v>
      </c>
      <c r="D45" s="67">
        <f t="shared" si="1"/>
        <v>12.970666710705887</v>
      </c>
      <c r="E45" s="66">
        <f t="shared" si="2"/>
        <v>16.903701960058694</v>
      </c>
      <c r="F45" s="67">
        <f t="shared" si="3"/>
        <v>12.970666710705887</v>
      </c>
      <c r="G45" s="187"/>
      <c r="H45" s="64">
        <f>IF(ABS(I34)&gt;K38,$K$38,I34)</f>
        <v>87.09302325581393</v>
      </c>
      <c r="I45" s="65">
        <f>IF(H45=K38,H45*I28+K21,I35)</f>
        <v>22.322674418604652</v>
      </c>
      <c r="J45" s="66">
        <f>SIN(RADIANS(B48))*$K$39/2+P39</f>
        <v>1.5155444566227678</v>
      </c>
      <c r="K45" s="67">
        <f>(COS(RADIANS(B48))*$K$39/2)+Tire_Rolling_Radius+$C$3</f>
        <v>16.625</v>
      </c>
      <c r="L45" s="180" t="s">
        <v>74</v>
      </c>
      <c r="M45" s="188"/>
      <c r="N45" s="181"/>
      <c r="P45" s="172"/>
      <c r="Q45" s="172"/>
      <c r="R45" s="172"/>
      <c r="S45" s="172"/>
      <c r="T45" s="172"/>
    </row>
    <row r="46" spans="2:20" ht="12.75">
      <c r="B46" s="193">
        <v>90</v>
      </c>
      <c r="C46" s="66">
        <f t="shared" si="0"/>
        <v>82.5</v>
      </c>
      <c r="D46" s="67">
        <f t="shared" si="1"/>
        <v>17.5</v>
      </c>
      <c r="E46" s="66">
        <f t="shared" si="2"/>
        <v>17.5</v>
      </c>
      <c r="F46" s="67">
        <f t="shared" si="3"/>
        <v>17.5</v>
      </c>
      <c r="G46" s="187"/>
      <c r="H46" s="180" t="s">
        <v>75</v>
      </c>
      <c r="I46" s="181"/>
      <c r="J46" s="66">
        <f>SIN(RADIANS(B50))*$K$39/2+P39</f>
        <v>0.8749999999999999</v>
      </c>
      <c r="K46" s="67">
        <f>(COS(RADIANS(B50))*$K$39/2)+Tire_Rolling_Radius+$C$3</f>
        <v>15.984455543377232</v>
      </c>
      <c r="L46" s="66" t="s">
        <v>1</v>
      </c>
      <c r="M46" s="187" t="s">
        <v>0</v>
      </c>
      <c r="N46" s="67"/>
      <c r="P46" s="172"/>
      <c r="Q46" s="172"/>
      <c r="R46" s="172"/>
      <c r="S46" s="172"/>
      <c r="T46" s="172"/>
    </row>
    <row r="47" spans="2:20" ht="12.75">
      <c r="B47" s="193">
        <v>105</v>
      </c>
      <c r="C47" s="66">
        <f t="shared" si="0"/>
        <v>83.0962980399413</v>
      </c>
      <c r="D47" s="67">
        <f t="shared" si="1"/>
        <v>22.029333289294115</v>
      </c>
      <c r="E47" s="66">
        <f t="shared" si="2"/>
        <v>16.903701960058694</v>
      </c>
      <c r="F47" s="67">
        <f t="shared" si="3"/>
        <v>22.029333289294115</v>
      </c>
      <c r="G47" s="187"/>
      <c r="H47" s="66" t="s">
        <v>1</v>
      </c>
      <c r="I47" s="67" t="s">
        <v>5</v>
      </c>
      <c r="J47" s="66">
        <f>SIN(RADIANS(B52))*$K$39/2+P39</f>
        <v>2.144009796090085E-16</v>
      </c>
      <c r="K47" s="67">
        <f>(COS(RADIANS(B52))*$K$39/2)+Tire_Rolling_Radius+$C$3</f>
        <v>15.75</v>
      </c>
      <c r="L47" s="66">
        <f>L42</f>
        <v>0</v>
      </c>
      <c r="M47" s="187">
        <f>M42</f>
        <v>7</v>
      </c>
      <c r="N47" s="67">
        <f>(M47+$M$38)</f>
        <v>87</v>
      </c>
      <c r="P47" s="172"/>
      <c r="Q47" s="172"/>
      <c r="R47" s="172"/>
      <c r="S47" s="172"/>
      <c r="T47" s="172"/>
    </row>
    <row r="48" spans="2:20" ht="12.75">
      <c r="B48" s="193">
        <v>120</v>
      </c>
      <c r="C48" s="66">
        <f t="shared" si="0"/>
        <v>84.84455543377233</v>
      </c>
      <c r="D48" s="67">
        <f t="shared" si="1"/>
        <v>26.249999999999996</v>
      </c>
      <c r="E48" s="66">
        <f t="shared" si="2"/>
        <v>15.155444566227677</v>
      </c>
      <c r="F48" s="67">
        <f t="shared" si="3"/>
        <v>26.249999999999996</v>
      </c>
      <c r="G48" s="187"/>
      <c r="H48" s="66">
        <f>P39</f>
        <v>0</v>
      </c>
      <c r="I48" s="67">
        <f>C3</f>
        <v>0</v>
      </c>
      <c r="J48" s="66">
        <f>SIN(RADIANS(B54))*$K$39/2+P39</f>
        <v>-0.8750000000000002</v>
      </c>
      <c r="K48" s="67">
        <f>(COS(RADIANS(B54))*$K$39/2)+Tire_Rolling_Radius+$C$3</f>
        <v>15.984455543377232</v>
      </c>
      <c r="L48" s="66">
        <f>IF(I14="Parallel",$K$38,I14)</f>
        <v>-28</v>
      </c>
      <c r="M48" s="187">
        <f>IF(L48=K38,M47,J14)</f>
        <v>0</v>
      </c>
      <c r="N48" s="67">
        <f>(M48+$M$38)</f>
        <v>80</v>
      </c>
      <c r="P48" s="172"/>
      <c r="Q48" s="172"/>
      <c r="R48" s="172"/>
      <c r="S48" s="172"/>
      <c r="T48" s="172"/>
    </row>
    <row r="49" spans="2:20" ht="12.75">
      <c r="B49" s="193">
        <v>135</v>
      </c>
      <c r="C49" s="66">
        <f t="shared" si="0"/>
        <v>87.62563132923542</v>
      </c>
      <c r="D49" s="67">
        <f t="shared" si="1"/>
        <v>29.874368670764582</v>
      </c>
      <c r="E49" s="66">
        <f t="shared" si="2"/>
        <v>12.374368670764582</v>
      </c>
      <c r="F49" s="67">
        <f t="shared" si="3"/>
        <v>29.874368670764582</v>
      </c>
      <c r="G49" s="187"/>
      <c r="H49" s="66">
        <f>IF(ABS(I34)&gt;K38,$K$38,I34)</f>
        <v>87.09302325581393</v>
      </c>
      <c r="I49" s="67">
        <f>IF(H49=K38,H49*I28+K7,I35)</f>
        <v>22.322674418604652</v>
      </c>
      <c r="J49" s="66">
        <f>SIN(RADIANS(B56))*$K$39/2+P39</f>
        <v>-1.5155444566227672</v>
      </c>
      <c r="K49" s="67">
        <f>(COS(RADIANS(B56))*$K$39/2)+Tire_Rolling_Radius+$C$3</f>
        <v>16.625</v>
      </c>
      <c r="L49" s="66">
        <f>IF(I14="Parallel",$K$38,I14)</f>
        <v>-28</v>
      </c>
      <c r="M49" s="187">
        <f>IF(L49=K38,M50,J14)</f>
        <v>0</v>
      </c>
      <c r="N49" s="67">
        <f>(M49+$M$38)</f>
        <v>80</v>
      </c>
      <c r="P49" s="172"/>
      <c r="Q49" s="172"/>
      <c r="R49" s="172"/>
      <c r="S49" s="172"/>
      <c r="T49" s="172"/>
    </row>
    <row r="50" spans="2:20" ht="12.75">
      <c r="B50" s="193">
        <v>150</v>
      </c>
      <c r="C50" s="66">
        <f t="shared" si="0"/>
        <v>91.25</v>
      </c>
      <c r="D50" s="67">
        <f t="shared" si="1"/>
        <v>32.65544456622768</v>
      </c>
      <c r="E50" s="66">
        <f t="shared" si="2"/>
        <v>8.749999999999998</v>
      </c>
      <c r="F50" s="67">
        <f t="shared" si="3"/>
        <v>32.65544456622768</v>
      </c>
      <c r="G50" s="187"/>
      <c r="H50" s="64">
        <f>Wheelbase</f>
        <v>100</v>
      </c>
      <c r="I50" s="65">
        <f>FORECAST(H50,I48:I49,H48:H49)</f>
        <v>25.630841121495333</v>
      </c>
      <c r="J50" s="66">
        <f>SIN(RADIANS(B58))*$K$39/2+P39</f>
        <v>-1.75</v>
      </c>
      <c r="K50" s="67">
        <f>(COS(RADIANS(B58))*$K$39/2)+Tire_Rolling_Radius+$C$3</f>
        <v>17.5</v>
      </c>
      <c r="L50" s="64">
        <f>L47</f>
        <v>0</v>
      </c>
      <c r="M50" s="189">
        <f>-M47</f>
        <v>-7</v>
      </c>
      <c r="N50" s="65">
        <f>(M50+$M$38)</f>
        <v>73</v>
      </c>
      <c r="P50" s="172"/>
      <c r="Q50" s="172"/>
      <c r="R50" s="172"/>
      <c r="S50" s="172"/>
      <c r="T50" s="172"/>
    </row>
    <row r="51" spans="2:20" ht="12.75">
      <c r="B51" s="193">
        <v>165</v>
      </c>
      <c r="C51" s="66">
        <f t="shared" si="0"/>
        <v>95.47066671070588</v>
      </c>
      <c r="D51" s="67">
        <f t="shared" si="1"/>
        <v>34.4037019600587</v>
      </c>
      <c r="E51" s="66">
        <f t="shared" si="2"/>
        <v>4.529333289294118</v>
      </c>
      <c r="F51" s="67">
        <f t="shared" si="3"/>
        <v>34.4037019600587</v>
      </c>
      <c r="G51" s="187"/>
      <c r="H51" s="180" t="s">
        <v>127</v>
      </c>
      <c r="I51" s="181"/>
      <c r="J51" s="66">
        <f>SIN(RADIANS(B60))*$K$39/2+P39</f>
        <v>-1.5155444566227676</v>
      </c>
      <c r="K51" s="67">
        <f>(COS(RADIANS(B60))*$K$39/2)+Tire_Rolling_Radius+$C$3</f>
        <v>18.375</v>
      </c>
      <c r="L51" s="180" t="s">
        <v>6</v>
      </c>
      <c r="M51" s="188"/>
      <c r="N51" s="181"/>
      <c r="P51" s="172"/>
      <c r="Q51" s="172"/>
      <c r="R51" s="172"/>
      <c r="S51" s="172"/>
      <c r="T51" s="172"/>
    </row>
    <row r="52" spans="2:23" ht="12.75">
      <c r="B52" s="193">
        <v>180</v>
      </c>
      <c r="C52" s="66">
        <f t="shared" si="0"/>
        <v>100</v>
      </c>
      <c r="D52" s="67">
        <f t="shared" si="1"/>
        <v>35</v>
      </c>
      <c r="E52" s="66">
        <f t="shared" si="2"/>
        <v>2.144009796090085E-15</v>
      </c>
      <c r="F52" s="67">
        <f t="shared" si="3"/>
        <v>35</v>
      </c>
      <c r="G52" s="187"/>
      <c r="H52" s="66" t="s">
        <v>1</v>
      </c>
      <c r="I52" s="67" t="s">
        <v>5</v>
      </c>
      <c r="J52" s="66">
        <f>SIN(RADIANS(B62))*$K$39/2+P39</f>
        <v>-0.8750000000000008</v>
      </c>
      <c r="K52" s="67">
        <f>(COS(RADIANS(B62))*$K$39/2)+Tire_Rolling_Radius+$C$3</f>
        <v>19.015544456622766</v>
      </c>
      <c r="L52" s="66" t="s">
        <v>1</v>
      </c>
      <c r="M52" s="187" t="s">
        <v>0</v>
      </c>
      <c r="N52" s="67"/>
      <c r="Q52" s="172"/>
      <c r="R52" s="172"/>
      <c r="S52" s="172"/>
      <c r="T52" s="172"/>
      <c r="U52" s="172"/>
      <c r="V52" s="172"/>
      <c r="W52" s="172"/>
    </row>
    <row r="53" spans="2:23" ht="12.75">
      <c r="B53" s="193">
        <v>195</v>
      </c>
      <c r="C53" s="66">
        <f t="shared" si="0"/>
        <v>104.52933328929412</v>
      </c>
      <c r="D53" s="67">
        <f t="shared" si="1"/>
        <v>34.4037019600587</v>
      </c>
      <c r="E53" s="66">
        <f t="shared" si="2"/>
        <v>-4.529333289294114</v>
      </c>
      <c r="F53" s="67">
        <f t="shared" si="3"/>
        <v>34.4037019600587</v>
      </c>
      <c r="G53" s="187"/>
      <c r="H53" s="66">
        <v>-20</v>
      </c>
      <c r="I53" s="67">
        <f>VectorCalculations!C4</f>
        <v>37.725806451612904</v>
      </c>
      <c r="J53" s="64">
        <f>SIN(RADIANS(B64))*$K$39/2+P39</f>
        <v>-4.28801959218017E-16</v>
      </c>
      <c r="K53" s="65">
        <f>(COS(RADIANS(B64))*$K$39/2)+Tire_Rolling_Radius+$C$3</f>
        <v>19.25</v>
      </c>
      <c r="L53" s="66">
        <f>I20</f>
        <v>29.5</v>
      </c>
      <c r="M53" s="187">
        <f>J20</f>
        <v>12</v>
      </c>
      <c r="N53" s="67">
        <f>(M53+$M$38)</f>
        <v>92</v>
      </c>
      <c r="Q53" s="172"/>
      <c r="R53" s="172"/>
      <c r="S53" s="172"/>
      <c r="T53" s="172"/>
      <c r="U53" s="172"/>
      <c r="V53" s="172"/>
      <c r="W53" s="172"/>
    </row>
    <row r="54" spans="2:23" ht="12.75">
      <c r="B54" s="193">
        <v>210</v>
      </c>
      <c r="C54" s="66">
        <f t="shared" si="0"/>
        <v>108.75</v>
      </c>
      <c r="D54" s="67">
        <f t="shared" si="1"/>
        <v>32.65544456622767</v>
      </c>
      <c r="E54" s="66">
        <f t="shared" si="2"/>
        <v>-8.750000000000002</v>
      </c>
      <c r="F54" s="67">
        <f t="shared" si="3"/>
        <v>32.65544456622767</v>
      </c>
      <c r="G54" s="187"/>
      <c r="H54" s="64">
        <v>120</v>
      </c>
      <c r="I54" s="65">
        <f>VectorCalculations!C4</f>
        <v>37.725806451612904</v>
      </c>
      <c r="J54" s="172"/>
      <c r="K54" s="172"/>
      <c r="L54" s="66">
        <f>I21</f>
        <v>3.5</v>
      </c>
      <c r="M54" s="187">
        <f>J21</f>
        <v>16</v>
      </c>
      <c r="N54" s="67">
        <f>(M54+$M$38)</f>
        <v>96</v>
      </c>
      <c r="Q54" s="172"/>
      <c r="R54" s="172"/>
      <c r="S54" s="172"/>
      <c r="T54" s="172"/>
      <c r="U54" s="172"/>
      <c r="V54" s="172"/>
      <c r="W54" s="172"/>
    </row>
    <row r="55" spans="2:23" ht="12.75">
      <c r="B55" s="193">
        <v>225</v>
      </c>
      <c r="C55" s="66">
        <f t="shared" si="0"/>
        <v>112.37436867076458</v>
      </c>
      <c r="D55" s="67">
        <f t="shared" si="1"/>
        <v>29.874368670764582</v>
      </c>
      <c r="E55" s="66">
        <f t="shared" si="2"/>
        <v>-12.37436867076458</v>
      </c>
      <c r="F55" s="67">
        <f t="shared" si="3"/>
        <v>29.874368670764582</v>
      </c>
      <c r="G55" s="187"/>
      <c r="H55" s="180" t="s">
        <v>76</v>
      </c>
      <c r="I55" s="181"/>
      <c r="J55" s="172"/>
      <c r="K55" s="172"/>
      <c r="L55" s="66">
        <f>(L53)</f>
        <v>29.5</v>
      </c>
      <c r="M55" s="187">
        <f>(-M53)</f>
        <v>-12</v>
      </c>
      <c r="N55" s="67">
        <f>(M55+$M$38)</f>
        <v>68</v>
      </c>
      <c r="Q55" s="172"/>
      <c r="R55" s="172"/>
      <c r="S55" s="172"/>
      <c r="T55" s="172"/>
      <c r="U55" s="172"/>
      <c r="V55" s="172"/>
      <c r="W55" s="172"/>
    </row>
    <row r="56" spans="2:23" ht="12.75">
      <c r="B56" s="193">
        <v>240</v>
      </c>
      <c r="C56" s="66">
        <f t="shared" si="0"/>
        <v>115.15544456622767</v>
      </c>
      <c r="D56" s="67">
        <f t="shared" si="1"/>
        <v>26.250000000000007</v>
      </c>
      <c r="E56" s="66">
        <f t="shared" si="2"/>
        <v>-15.155444566227672</v>
      </c>
      <c r="F56" s="67">
        <f t="shared" si="3"/>
        <v>26.250000000000007</v>
      </c>
      <c r="G56" s="187"/>
      <c r="H56" s="66" t="s">
        <v>1</v>
      </c>
      <c r="I56" s="67" t="s">
        <v>5</v>
      </c>
      <c r="J56" s="172"/>
      <c r="K56" s="172"/>
      <c r="L56" s="64">
        <f>L54</f>
        <v>3.5</v>
      </c>
      <c r="M56" s="189">
        <f>(-M54)</f>
        <v>-16</v>
      </c>
      <c r="N56" s="65">
        <f>(M56+$M$38)</f>
        <v>64</v>
      </c>
      <c r="Q56" s="172"/>
      <c r="R56" s="172"/>
      <c r="S56" s="172"/>
      <c r="T56" s="172"/>
      <c r="U56" s="172"/>
      <c r="V56" s="172"/>
      <c r="W56" s="172"/>
    </row>
    <row r="57" spans="2:23" ht="12.75">
      <c r="B57" s="193">
        <v>255</v>
      </c>
      <c r="C57" s="66">
        <f t="shared" si="0"/>
        <v>116.9037019600587</v>
      </c>
      <c r="D57" s="67">
        <f t="shared" si="1"/>
        <v>22.02933328929411</v>
      </c>
      <c r="E57" s="66">
        <f t="shared" si="2"/>
        <v>-16.903701960058694</v>
      </c>
      <c r="F57" s="67">
        <f t="shared" si="3"/>
        <v>22.02933328929411</v>
      </c>
      <c r="G57" s="187"/>
      <c r="H57" s="66">
        <f>P39</f>
        <v>0</v>
      </c>
      <c r="I57" s="67">
        <f>C3</f>
        <v>0</v>
      </c>
      <c r="J57" s="172"/>
      <c r="K57" s="172"/>
      <c r="L57" s="180" t="s">
        <v>73</v>
      </c>
      <c r="M57" s="188"/>
      <c r="N57" s="181"/>
      <c r="Q57" s="172"/>
      <c r="R57" s="172"/>
      <c r="S57" s="172"/>
      <c r="T57" s="172"/>
      <c r="U57" s="172"/>
      <c r="V57" s="172"/>
      <c r="W57" s="172"/>
    </row>
    <row r="58" spans="2:23" ht="12.75">
      <c r="B58" s="193">
        <v>270</v>
      </c>
      <c r="C58" s="66">
        <f t="shared" si="0"/>
        <v>117.5</v>
      </c>
      <c r="D58" s="67">
        <f t="shared" si="1"/>
        <v>17.500000000000004</v>
      </c>
      <c r="E58" s="66">
        <f t="shared" si="2"/>
        <v>-17.5</v>
      </c>
      <c r="F58" s="67">
        <f t="shared" si="3"/>
        <v>17.500000000000004</v>
      </c>
      <c r="G58" s="187"/>
      <c r="H58" s="64">
        <f>Wheelbase</f>
        <v>100</v>
      </c>
      <c r="I58" s="65">
        <f>VectorCalculations!C4</f>
        <v>37.725806451612904</v>
      </c>
      <c r="J58" s="172"/>
      <c r="K58" s="172"/>
      <c r="L58" s="66" t="s">
        <v>1</v>
      </c>
      <c r="M58" s="187" t="s">
        <v>0</v>
      </c>
      <c r="N58" s="67"/>
      <c r="Q58" s="172"/>
      <c r="R58" s="172"/>
      <c r="S58" s="172"/>
      <c r="T58" s="172"/>
      <c r="U58" s="172"/>
      <c r="V58" s="172"/>
      <c r="W58" s="172"/>
    </row>
    <row r="59" spans="2:23" ht="12.75">
      <c r="B59" s="193">
        <v>285</v>
      </c>
      <c r="C59" s="66">
        <f t="shared" si="0"/>
        <v>116.9037019600587</v>
      </c>
      <c r="D59" s="67">
        <f t="shared" si="1"/>
        <v>12.970666710705895</v>
      </c>
      <c r="E59" s="66">
        <f t="shared" si="2"/>
        <v>-16.903701960058697</v>
      </c>
      <c r="F59" s="67">
        <f t="shared" si="3"/>
        <v>12.970666710705895</v>
      </c>
      <c r="G59" s="187"/>
      <c r="H59" s="180" t="s">
        <v>79</v>
      </c>
      <c r="I59" s="181"/>
      <c r="J59" s="172"/>
      <c r="K59" s="172"/>
      <c r="L59" s="66">
        <f>L53</f>
        <v>29.5</v>
      </c>
      <c r="M59" s="187">
        <f>M53</f>
        <v>12</v>
      </c>
      <c r="N59" s="67">
        <f>(M59+$M$38)</f>
        <v>92</v>
      </c>
      <c r="Q59" s="172"/>
      <c r="R59" s="172"/>
      <c r="S59" s="172"/>
      <c r="T59" s="172"/>
      <c r="U59" s="172"/>
      <c r="V59" s="172"/>
      <c r="W59" s="172"/>
    </row>
    <row r="60" spans="2:23" ht="12.75">
      <c r="B60" s="193">
        <v>300</v>
      </c>
      <c r="C60" s="66">
        <f t="shared" si="0"/>
        <v>115.15544456622767</v>
      </c>
      <c r="D60" s="67">
        <f t="shared" si="1"/>
        <v>8.749999999999998</v>
      </c>
      <c r="E60" s="66">
        <f t="shared" si="2"/>
        <v>-15.155444566227676</v>
      </c>
      <c r="F60" s="67">
        <f t="shared" si="3"/>
        <v>8.749999999999998</v>
      </c>
      <c r="G60" s="214"/>
      <c r="H60" s="187" t="s">
        <v>1</v>
      </c>
      <c r="I60" s="67" t="s">
        <v>5</v>
      </c>
      <c r="J60" s="172"/>
      <c r="K60" s="172"/>
      <c r="L60" s="66">
        <f>IF(VectorCalculations!C25="Parallel",$K$38,VectorCalculations!C25)</f>
        <v>107.5</v>
      </c>
      <c r="M60" s="187">
        <f>IF(L60=K38,M59,VectorCalculations!D13)</f>
        <v>0</v>
      </c>
      <c r="N60" s="67">
        <f>(M60+$M$38)</f>
        <v>80</v>
      </c>
      <c r="Q60" s="172"/>
      <c r="R60" s="172"/>
      <c r="S60" s="172"/>
      <c r="T60" s="172"/>
      <c r="U60" s="172"/>
      <c r="V60" s="172"/>
      <c r="W60" s="172"/>
    </row>
    <row r="61" spans="2:23" ht="12.75">
      <c r="B61" s="193">
        <v>315</v>
      </c>
      <c r="C61" s="66">
        <f t="shared" si="0"/>
        <v>112.37436867076458</v>
      </c>
      <c r="D61" s="67">
        <f t="shared" si="1"/>
        <v>5.125631329235421</v>
      </c>
      <c r="E61" s="66">
        <f t="shared" si="2"/>
        <v>-12.374368670764584</v>
      </c>
      <c r="F61" s="67">
        <f t="shared" si="3"/>
        <v>5.125631329235421</v>
      </c>
      <c r="G61" s="214"/>
      <c r="H61" s="187">
        <f>IF(I14="Parallel",$K$38,I14)</f>
        <v>-28</v>
      </c>
      <c r="I61" s="67">
        <f>IF(VectorCalculations!E23="N/A",VectorCalculations!$C$32*H61+VectorCalculations!$C$33,IF(VectorCalculations!E13="N/A",('Travel (2)'!H61*VectorCalculations!C32)+VectorCalculations!C33,VectorCalculations!E13))</f>
        <v>25.2</v>
      </c>
      <c r="J61" s="172"/>
      <c r="K61" s="172"/>
      <c r="L61" s="66">
        <f>IF(VectorCalculations!C25="Parallel",$K$38,VectorCalculations!C25)</f>
        <v>107.5</v>
      </c>
      <c r="M61" s="187">
        <f>IF(L61=K38,M62,VectorCalculations!D13)</f>
        <v>0</v>
      </c>
      <c r="N61" s="67">
        <f>(M61+$M$38)</f>
        <v>80</v>
      </c>
      <c r="Q61" s="172"/>
      <c r="R61" s="172"/>
      <c r="S61" s="172"/>
      <c r="T61" s="172"/>
      <c r="U61" s="172"/>
      <c r="V61" s="172"/>
      <c r="W61" s="172"/>
    </row>
    <row r="62" spans="2:23" ht="12.75">
      <c r="B62" s="193">
        <v>330</v>
      </c>
      <c r="C62" s="66">
        <f t="shared" si="0"/>
        <v>108.75</v>
      </c>
      <c r="D62" s="67">
        <f t="shared" si="1"/>
        <v>2.344555433772328</v>
      </c>
      <c r="E62" s="66">
        <f t="shared" si="2"/>
        <v>-8.750000000000007</v>
      </c>
      <c r="F62" s="67">
        <f t="shared" si="3"/>
        <v>2.344555433772328</v>
      </c>
      <c r="G62" s="187"/>
      <c r="H62" s="66">
        <v>0</v>
      </c>
      <c r="I62" s="67">
        <f>I32</f>
        <v>24.84870848708487</v>
      </c>
      <c r="J62" s="172"/>
      <c r="K62" s="172"/>
      <c r="L62" s="64">
        <f>L59</f>
        <v>29.5</v>
      </c>
      <c r="M62" s="189">
        <f>-M59</f>
        <v>-12</v>
      </c>
      <c r="N62" s="65">
        <f>(M62+$M$38)</f>
        <v>68</v>
      </c>
      <c r="Q62" s="172"/>
      <c r="R62" s="172"/>
      <c r="S62" s="172"/>
      <c r="T62" s="172"/>
      <c r="U62" s="172"/>
      <c r="V62" s="172"/>
      <c r="W62" s="172"/>
    </row>
    <row r="63" spans="2:23" ht="12.75">
      <c r="B63" s="193">
        <v>345</v>
      </c>
      <c r="C63" s="66">
        <f t="shared" si="0"/>
        <v>104.52933328929412</v>
      </c>
      <c r="D63" s="67">
        <f t="shared" si="1"/>
        <v>0.5962980399413063</v>
      </c>
      <c r="E63" s="66">
        <f t="shared" si="2"/>
        <v>-4.529333289294112</v>
      </c>
      <c r="F63" s="67">
        <f t="shared" si="3"/>
        <v>0.5962980399413063</v>
      </c>
      <c r="G63" s="187"/>
      <c r="H63" s="64">
        <f>IF(I26="Parallel",$K$38,I26)</f>
        <v>107.5</v>
      </c>
      <c r="I63" s="65">
        <f>IF(K26="N/A",I41,K26)</f>
        <v>23.5</v>
      </c>
      <c r="J63" s="172"/>
      <c r="K63" s="172"/>
      <c r="L63" s="172"/>
      <c r="M63" s="172"/>
      <c r="N63" s="172"/>
      <c r="O63" s="172"/>
      <c r="Q63" s="172"/>
      <c r="R63" s="172"/>
      <c r="S63" s="172"/>
      <c r="T63" s="172"/>
      <c r="U63" s="172"/>
      <c r="V63" s="172"/>
      <c r="W63" s="172"/>
    </row>
    <row r="64" spans="2:23" ht="12.75">
      <c r="B64" s="194">
        <v>360</v>
      </c>
      <c r="C64" s="64">
        <f t="shared" si="0"/>
        <v>100</v>
      </c>
      <c r="D64" s="65">
        <f t="shared" si="1"/>
        <v>0</v>
      </c>
      <c r="E64" s="66">
        <f t="shared" si="2"/>
        <v>-4.28801959218017E-15</v>
      </c>
      <c r="F64" s="67">
        <f t="shared" si="3"/>
        <v>0</v>
      </c>
      <c r="G64" s="187"/>
      <c r="H64" s="172"/>
      <c r="I64" s="172"/>
      <c r="J64" s="172"/>
      <c r="K64" s="172"/>
      <c r="L64" s="172"/>
      <c r="M64" s="172"/>
      <c r="N64" s="172"/>
      <c r="O64" s="172"/>
      <c r="Q64" s="172"/>
      <c r="R64" s="172"/>
      <c r="S64" s="172"/>
      <c r="T64" s="172"/>
      <c r="U64" s="172"/>
      <c r="V64" s="172"/>
      <c r="W64" s="172"/>
    </row>
    <row r="65" spans="2:23" ht="12.75">
      <c r="B65" s="10"/>
      <c r="Q65" s="172"/>
      <c r="R65" s="172"/>
      <c r="S65" s="172"/>
      <c r="T65" s="172"/>
      <c r="U65" s="172"/>
      <c r="V65" s="172"/>
      <c r="W65" s="172"/>
    </row>
    <row r="66" spans="2:23" ht="12.75">
      <c r="B66" s="10"/>
      <c r="Q66" s="172"/>
      <c r="R66" s="172"/>
      <c r="S66" s="172"/>
      <c r="T66" s="172"/>
      <c r="U66" s="172"/>
      <c r="V66" s="172"/>
      <c r="W66" s="172"/>
    </row>
    <row r="67" spans="17:23" ht="12.75">
      <c r="Q67" s="172"/>
      <c r="R67" s="172"/>
      <c r="S67" s="172"/>
      <c r="T67" s="172"/>
      <c r="U67" s="172"/>
      <c r="V67" s="172"/>
      <c r="W67" s="172"/>
    </row>
    <row r="68" spans="3:23" ht="12.75">
      <c r="C68" s="10" t="s">
        <v>150</v>
      </c>
      <c r="D68" s="10" t="s">
        <v>151</v>
      </c>
      <c r="Q68" s="172"/>
      <c r="R68" s="172"/>
      <c r="S68" s="172"/>
      <c r="T68" s="172"/>
      <c r="U68" s="172"/>
      <c r="V68" s="172"/>
      <c r="W68" s="172"/>
    </row>
    <row r="69" spans="2:23" ht="12.75">
      <c r="B69" s="9" t="s">
        <v>146</v>
      </c>
      <c r="C69" s="216">
        <f>C21</f>
        <v>3.5</v>
      </c>
      <c r="D69" s="172">
        <f>E21</f>
        <v>17.5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2:23" ht="12.75">
      <c r="B70" s="9" t="s">
        <v>147</v>
      </c>
      <c r="C70" s="195">
        <f>C20</f>
        <v>29.5</v>
      </c>
      <c r="D70" s="172">
        <f>E20</f>
        <v>19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</row>
    <row r="71" spans="2:23" ht="12.75">
      <c r="B71" s="9" t="s">
        <v>148</v>
      </c>
      <c r="C71" s="195">
        <f>C7</f>
        <v>0</v>
      </c>
      <c r="D71" s="172">
        <f>E7</f>
        <v>24.5</v>
      </c>
      <c r="E71" s="172"/>
      <c r="F71" s="172"/>
      <c r="G71" s="172"/>
      <c r="H71" s="172" t="s">
        <v>161</v>
      </c>
      <c r="I71" s="172">
        <f>((C81-C84)^2+(D81-D84)^2)^0.5</f>
        <v>17.7341478509682</v>
      </c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</row>
    <row r="72" spans="2:23" ht="12.75">
      <c r="B72" s="9" t="s">
        <v>149</v>
      </c>
      <c r="C72" s="195">
        <f>C6</f>
        <v>20</v>
      </c>
      <c r="D72" s="172">
        <f>E6</f>
        <v>24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</row>
    <row r="73" spans="3:23" ht="12.75">
      <c r="C73" s="195">
        <v>-20</v>
      </c>
      <c r="D73" s="172">
        <v>90.67</v>
      </c>
      <c r="E73" s="172"/>
      <c r="F73" s="172"/>
      <c r="G73" s="172"/>
      <c r="H73" s="172" t="s">
        <v>162</v>
      </c>
      <c r="I73" s="172">
        <f>ACOS((C74^2+I71^2-C77^2)/(2*C74*I71))*180/PI()</f>
        <v>18.199568649612885</v>
      </c>
      <c r="J73" s="172"/>
      <c r="K73" s="172"/>
      <c r="L73" s="172" t="s">
        <v>176</v>
      </c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</row>
    <row r="74" spans="2:23" ht="12.75">
      <c r="B74" s="9" t="s">
        <v>152</v>
      </c>
      <c r="C74" s="195">
        <f>((C70-C69)^2+(D70-D69)^2)^0.5</f>
        <v>26.043233286210835</v>
      </c>
      <c r="D74" s="172"/>
      <c r="E74" s="172"/>
      <c r="F74" s="172"/>
      <c r="G74" s="172"/>
      <c r="H74" s="172" t="s">
        <v>163</v>
      </c>
      <c r="I74" s="172">
        <f>ACOS((C76^2+I71^2-C75^2)/(2*C76*I71))*180/PI()</f>
        <v>95.06361685303007</v>
      </c>
      <c r="J74" s="172"/>
      <c r="K74" s="172"/>
      <c r="L74" s="172">
        <f>C81</f>
        <v>3.5</v>
      </c>
      <c r="M74" s="172">
        <f>D81</f>
        <v>17.5</v>
      </c>
      <c r="N74" s="172"/>
      <c r="O74" s="172"/>
      <c r="P74" s="172"/>
      <c r="Q74" s="172"/>
      <c r="R74" s="172"/>
      <c r="S74" s="172"/>
      <c r="T74" s="172"/>
      <c r="U74" s="172"/>
      <c r="V74" s="172"/>
      <c r="W74" s="172"/>
    </row>
    <row r="75" spans="2:23" ht="12.75">
      <c r="B75" s="9" t="s">
        <v>153</v>
      </c>
      <c r="C75" s="195">
        <f>((C72-C71)^2+(D72-D71)^2)^0.5</f>
        <v>20.006249023742555</v>
      </c>
      <c r="D75" s="172"/>
      <c r="E75" s="172"/>
      <c r="F75" s="172"/>
      <c r="G75" s="172"/>
      <c r="H75" s="172" t="s">
        <v>164</v>
      </c>
      <c r="I75" s="172">
        <f>I73+I74</f>
        <v>113.26318550264295</v>
      </c>
      <c r="J75" s="172"/>
      <c r="K75" s="172"/>
      <c r="L75" s="172">
        <f>C83</f>
        <v>0</v>
      </c>
      <c r="M75" s="172">
        <f>D83</f>
        <v>24.5</v>
      </c>
      <c r="N75" s="172"/>
      <c r="O75" s="172"/>
      <c r="P75" s="172"/>
      <c r="Q75" s="172"/>
      <c r="R75" s="172"/>
      <c r="S75" s="172"/>
      <c r="T75" s="172"/>
      <c r="U75" s="172"/>
      <c r="V75" s="172"/>
      <c r="W75" s="172"/>
    </row>
    <row r="76" spans="2:23" ht="12.75">
      <c r="B76" s="9" t="s">
        <v>154</v>
      </c>
      <c r="C76" s="195">
        <f>((C71-C69)^2+(D71-D69)^2)^0.5</f>
        <v>7.826237921249264</v>
      </c>
      <c r="D76" s="172"/>
      <c r="E76" s="172"/>
      <c r="F76" s="172"/>
      <c r="G76" s="172"/>
      <c r="H76" s="172"/>
      <c r="I76" s="172"/>
      <c r="J76" s="172"/>
      <c r="K76" s="172"/>
      <c r="L76" s="172">
        <v>-20</v>
      </c>
      <c r="M76" s="172">
        <f>FORECAST(L76,M74:M75,L74:L75)</f>
        <v>64.5</v>
      </c>
      <c r="N76" s="172"/>
      <c r="O76" s="172"/>
      <c r="P76" s="172"/>
      <c r="Q76" s="172"/>
      <c r="R76" s="172"/>
      <c r="S76" s="172"/>
      <c r="T76" s="172"/>
      <c r="U76" s="172"/>
      <c r="V76" s="172"/>
      <c r="W76" s="172"/>
    </row>
    <row r="77" spans="2:23" ht="12.75">
      <c r="B77" s="9" t="s">
        <v>155</v>
      </c>
      <c r="C77" s="195">
        <f>((C72-C70)^2+(D72-D70)^2)^0.5</f>
        <v>10.735455276791944</v>
      </c>
      <c r="D77" s="172"/>
      <c r="E77" s="172"/>
      <c r="F77" s="172"/>
      <c r="G77" s="172"/>
      <c r="H77" s="172" t="s">
        <v>165</v>
      </c>
      <c r="I77" s="172">
        <f>C82-C81</f>
        <v>26</v>
      </c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</row>
    <row r="78" spans="3:23" ht="12.75">
      <c r="C78" s="195"/>
      <c r="D78" s="172"/>
      <c r="E78" s="172"/>
      <c r="F78" s="172"/>
      <c r="G78" s="172"/>
      <c r="H78" s="172" t="s">
        <v>166</v>
      </c>
      <c r="I78" s="172">
        <f>D82-D81</f>
        <v>1.5</v>
      </c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  <row r="79" spans="3:23" ht="12.75">
      <c r="C79" s="195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</row>
    <row r="80" spans="2:23" ht="12.75">
      <c r="B80" s="9" t="s">
        <v>156</v>
      </c>
      <c r="C80" s="195"/>
      <c r="D80" s="172"/>
      <c r="E80" s="172"/>
      <c r="F80" s="172"/>
      <c r="G80" s="172"/>
      <c r="H80" s="172" t="s">
        <v>167</v>
      </c>
      <c r="I80" s="172">
        <f>I77</f>
        <v>26</v>
      </c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</row>
    <row r="81" spans="2:23" ht="12.75">
      <c r="B81" s="9" t="s">
        <v>157</v>
      </c>
      <c r="C81" s="216">
        <f>C70-((C74^2-(D81-D70)^2)^0.5)</f>
        <v>3.5</v>
      </c>
      <c r="D81" s="172">
        <f>D69+C3</f>
        <v>17.5</v>
      </c>
      <c r="E81" s="172"/>
      <c r="F81" s="172"/>
      <c r="G81" s="172"/>
      <c r="H81" s="172" t="s">
        <v>168</v>
      </c>
      <c r="I81" s="172">
        <v>0</v>
      </c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</row>
    <row r="82" spans="2:23" ht="12.75">
      <c r="B82" s="9" t="s">
        <v>158</v>
      </c>
      <c r="C82" s="195">
        <f>C70</f>
        <v>29.5</v>
      </c>
      <c r="D82" s="172">
        <f>D70</f>
        <v>19</v>
      </c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</row>
    <row r="83" spans="2:23" ht="12.75">
      <c r="B83" s="9" t="s">
        <v>159</v>
      </c>
      <c r="C83" s="172">
        <f>C81-(C76*COS(I85/(180/PI())))</f>
        <v>0</v>
      </c>
      <c r="D83" s="172">
        <f>D81+(C76*SIN(I85/(180/PI())))</f>
        <v>24.5</v>
      </c>
      <c r="E83" s="172"/>
      <c r="F83" s="172"/>
      <c r="G83" s="172"/>
      <c r="H83" s="172" t="s">
        <v>169</v>
      </c>
      <c r="I83" s="172">
        <f>ASIN((D70-D81)/C74)*180/PI()</f>
        <v>3.301865674435003</v>
      </c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</row>
    <row r="84" spans="2:23" ht="12.75">
      <c r="B84" s="9" t="s">
        <v>160</v>
      </c>
      <c r="C84" s="195">
        <f>C72</f>
        <v>20</v>
      </c>
      <c r="D84" s="172">
        <f>D72</f>
        <v>24</v>
      </c>
      <c r="E84" s="172"/>
      <c r="F84" s="172"/>
      <c r="G84" s="172"/>
      <c r="H84" s="172" t="s">
        <v>170</v>
      </c>
      <c r="I84" s="172">
        <f>I75+I83</f>
        <v>116.56505117707796</v>
      </c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</row>
    <row r="85" spans="3:23" ht="12.75">
      <c r="C85" s="195"/>
      <c r="D85" s="172"/>
      <c r="E85" s="172"/>
      <c r="F85" s="172"/>
      <c r="G85" s="172"/>
      <c r="H85" s="172" t="s">
        <v>171</v>
      </c>
      <c r="I85" s="172">
        <f>180-I84</f>
        <v>63.43494882292204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</row>
    <row r="86" spans="3:23" ht="12.75">
      <c r="C86" s="195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</row>
    <row r="87" spans="3:23" ht="12.75">
      <c r="C87" s="195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</row>
    <row r="88" spans="3:23" ht="12.75">
      <c r="C88" s="195"/>
      <c r="D88" s="172"/>
      <c r="E88" s="172"/>
      <c r="F88" s="172"/>
      <c r="G88" s="172"/>
      <c r="H88" s="172" t="s">
        <v>172</v>
      </c>
      <c r="I88" s="172">
        <f>ATAN((D71-D69)/(C69-C71))*180/PI()</f>
        <v>63.43494882292201</v>
      </c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</row>
    <row r="89" spans="3:23" ht="12.75">
      <c r="C89" s="195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</row>
    <row r="90" spans="3:23" ht="12.75">
      <c r="C90" s="195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</row>
    <row r="91" spans="3:23" ht="12.75">
      <c r="C91" s="195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</row>
    <row r="92" spans="3:23" ht="12.75">
      <c r="C92" s="195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</row>
    <row r="93" spans="3:23" ht="12.75">
      <c r="C93" s="195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</row>
    <row r="94" spans="3:23" ht="12.75">
      <c r="C94" s="195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</row>
    <row r="95" spans="3:23" ht="12.75">
      <c r="C95" s="195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</row>
    <row r="96" spans="3:23" ht="12.75">
      <c r="C96" s="195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</row>
    <row r="97" spans="3:23" ht="12.75">
      <c r="C97" s="195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</row>
    <row r="98" spans="3:23" ht="12.75">
      <c r="C98" s="195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</row>
    <row r="99" spans="3:23" ht="12.75">
      <c r="C99" s="195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</row>
    <row r="100" spans="3:23" ht="12.75">
      <c r="C100" s="195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3:23" ht="12.75">
      <c r="C101" s="195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3:23" ht="12.75">
      <c r="C102" s="195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3:23" ht="12.75">
      <c r="C103" s="195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3:23" ht="12.75">
      <c r="C104" s="195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3:23" ht="12.75">
      <c r="C105" s="195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3:23" ht="12.75">
      <c r="C106" s="195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3:23" ht="12.75">
      <c r="C107" s="195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3:23" ht="12.75">
      <c r="C108" s="195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3:23" ht="12.75">
      <c r="C109" s="195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3:23" ht="12.75">
      <c r="C110" s="195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3:23" ht="12.75">
      <c r="C111" s="195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3:23" ht="12.75">
      <c r="C112" s="195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  <row r="113" spans="3:23" ht="12.75">
      <c r="C113" s="195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</row>
    <row r="114" spans="3:23" ht="12.75">
      <c r="C114" s="195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</row>
    <row r="115" spans="3:23" ht="12.75">
      <c r="C115" s="195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3:23" ht="12.75">
      <c r="C116" s="195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3:23" ht="12.75">
      <c r="C117" s="195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3:23" ht="12.75">
      <c r="C118" s="195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3:23" ht="12.75">
      <c r="C119" s="195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3:23" ht="12.75">
      <c r="C120" s="195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3:23" ht="12.75">
      <c r="C121" s="195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3:23" ht="12.75">
      <c r="C122" s="195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3:23" ht="12.75">
      <c r="C123" s="195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3:23" ht="12.75">
      <c r="C124" s="195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  <row r="125" spans="3:23" ht="12.75">
      <c r="C125" s="195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</row>
    <row r="126" spans="3:23" ht="12.75">
      <c r="C126" s="195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</row>
    <row r="127" spans="3:23" ht="12.75">
      <c r="C127" s="195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</row>
    <row r="128" spans="3:23" ht="12.75">
      <c r="C128" s="195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</row>
    <row r="129" spans="3:23" ht="12.75">
      <c r="C129" s="195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</row>
    <row r="130" spans="3:23" ht="12.75">
      <c r="C130" s="195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</row>
    <row r="131" spans="3:23" ht="12.75">
      <c r="C131" s="195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</row>
    <row r="132" spans="3:23" ht="12.75">
      <c r="C132" s="195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</row>
    <row r="133" spans="3:23" ht="12.75">
      <c r="C133" s="195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</row>
    <row r="134" spans="3:23" ht="12.75">
      <c r="C134" s="195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</row>
    <row r="135" spans="3:23" ht="12.75">
      <c r="C135" s="195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</row>
    <row r="136" spans="3:23" ht="12.75">
      <c r="C136" s="195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</row>
    <row r="137" spans="3:23" ht="12.75">
      <c r="C137" s="195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</row>
    <row r="138" spans="3:23" ht="12.75">
      <c r="C138" s="195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</row>
    <row r="139" spans="3:23" ht="12.75">
      <c r="C139" s="195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</row>
    <row r="140" spans="3:23" ht="12.75">
      <c r="C140" s="195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</row>
    <row r="141" spans="3:23" ht="12.75">
      <c r="C141" s="195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</row>
    <row r="142" spans="3:23" ht="12.75">
      <c r="C142" s="195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</row>
    <row r="143" spans="3:23" ht="12.75">
      <c r="C143" s="195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</row>
    <row r="144" spans="3:23" ht="12.75">
      <c r="C144" s="195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</row>
  </sheetData>
  <sheetProtection/>
  <mergeCells count="9">
    <mergeCell ref="D33:F33"/>
    <mergeCell ref="B1:F1"/>
    <mergeCell ref="B4:F4"/>
    <mergeCell ref="B29:C29"/>
    <mergeCell ref="D31:F31"/>
    <mergeCell ref="J33:L33"/>
    <mergeCell ref="J31:L31"/>
    <mergeCell ref="H29:I29"/>
    <mergeCell ref="H4:L4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zoomScalePageLayoutView="0" workbookViewId="0" topLeftCell="A1">
      <selection activeCell="D8" sqref="D8"/>
    </sheetView>
  </sheetViews>
  <sheetFormatPr defaultColWidth="15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8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6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1.75</v>
      </c>
      <c r="H5" s="15" t="s">
        <v>10</v>
      </c>
      <c r="I5" s="39"/>
      <c r="J5" s="24"/>
    </row>
    <row r="6" spans="2:10" ht="12.75">
      <c r="B6" s="14" t="s">
        <v>64</v>
      </c>
      <c r="C6" s="4">
        <v>0.188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52</v>
      </c>
      <c r="D7" s="19"/>
      <c r="E7" s="40"/>
      <c r="F7" s="16" t="s">
        <v>35</v>
      </c>
      <c r="G7" s="4" t="s">
        <v>105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10500000</v>
      </c>
      <c r="D9" s="11" t="s">
        <v>96</v>
      </c>
      <c r="E9" s="41"/>
      <c r="F9" s="16" t="s">
        <v>94</v>
      </c>
      <c r="G9" s="167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50000</v>
      </c>
      <c r="D10" s="11" t="s">
        <v>96</v>
      </c>
      <c r="E10" s="41"/>
      <c r="F10" s="16" t="s">
        <v>95</v>
      </c>
      <c r="G10" s="167">
        <f>LOOKUP(G7,B28:B50,D28:D50)</f>
        <v>110000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0.1</v>
      </c>
      <c r="D11" s="11" t="s">
        <v>97</v>
      </c>
      <c r="E11" s="41"/>
      <c r="F11" s="16" t="s">
        <v>48</v>
      </c>
      <c r="G11" s="168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0.17015558349553422</v>
      </c>
      <c r="D12" s="24" t="s">
        <v>12</v>
      </c>
      <c r="E12" s="26"/>
      <c r="F12" s="30" t="s">
        <v>65</v>
      </c>
      <c r="G12" s="169">
        <f>((PI()/64)*(G5^4-(G5-2*G6)^4))</f>
        <v>0.34054373491061235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0.7748926775638438</v>
      </c>
      <c r="D13" s="24" t="s">
        <v>29</v>
      </c>
      <c r="E13" s="26"/>
      <c r="F13" s="30" t="s">
        <v>25</v>
      </c>
      <c r="G13" s="169">
        <f>(PI()*(G5^2-(G5-2*G6)^2)/4)</f>
        <v>1.1780972450961724</v>
      </c>
      <c r="H13" s="24" t="s">
        <v>29</v>
      </c>
      <c r="I13" s="26"/>
    </row>
    <row r="14" spans="2:9" ht="12.75">
      <c r="B14" s="30" t="s">
        <v>27</v>
      </c>
      <c r="C14" s="35">
        <f>(C10*C13)</f>
        <v>38744.633878192195</v>
      </c>
      <c r="D14" s="24" t="s">
        <v>11</v>
      </c>
      <c r="E14" s="26"/>
      <c r="F14" s="30" t="s">
        <v>27</v>
      </c>
      <c r="G14" s="170">
        <f>(G10*G13)</f>
        <v>129590.69696057896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41465.883845369186</v>
      </c>
      <c r="D15" s="24" t="s">
        <v>11</v>
      </c>
      <c r="E15" s="26"/>
      <c r="F15" s="30" t="s">
        <v>28</v>
      </c>
      <c r="G15" s="170">
        <f>(PI()^2*G9*G12)/(G17^2)</f>
        <v>143784.87398151163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2200.3551076900576</v>
      </c>
      <c r="D16" s="24" t="s">
        <v>11</v>
      </c>
      <c r="E16" s="26"/>
      <c r="F16" s="30" t="s">
        <v>26</v>
      </c>
      <c r="G16" s="170">
        <f>(G10*G12)/(0.125*G5*G17)</f>
        <v>6499.195097016598</v>
      </c>
      <c r="H16" s="24" t="s">
        <v>11</v>
      </c>
      <c r="I16" s="26"/>
    </row>
    <row r="17" spans="2:9" ht="12.75">
      <c r="B17" s="30" t="s">
        <v>43</v>
      </c>
      <c r="C17" s="53">
        <f>U_Length</f>
        <v>20.62159062730128</v>
      </c>
      <c r="D17" s="8" t="s">
        <v>10</v>
      </c>
      <c r="E17" s="42"/>
      <c r="F17" s="30" t="s">
        <v>43</v>
      </c>
      <c r="G17" s="53">
        <f>L_Length</f>
        <v>26.348624252510795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1.5979519576814956</v>
      </c>
      <c r="D18" s="15" t="s">
        <v>11</v>
      </c>
      <c r="E18" s="39"/>
      <c r="F18" s="30" t="s">
        <v>62</v>
      </c>
      <c r="G18" s="20">
        <f>(L_Length*G13*G11)</f>
        <v>8.815712626883833</v>
      </c>
      <c r="H18" s="15" t="s">
        <v>11</v>
      </c>
      <c r="I18" s="39"/>
    </row>
    <row r="19" spans="2:9" ht="12.75">
      <c r="B19" s="14" t="s">
        <v>17</v>
      </c>
      <c r="C19" s="63">
        <f>U_Force</f>
        <v>29385.766643904328</v>
      </c>
      <c r="D19" s="112" t="str">
        <f>IF(C19&lt;0,"lb (Compression)","lb (Tension)")</f>
        <v>lb (Tension)</v>
      </c>
      <c r="E19" s="43"/>
      <c r="F19" s="14" t="s">
        <v>17</v>
      </c>
      <c r="G19" s="63">
        <f>L_Force</f>
        <v>-39301.31243645536</v>
      </c>
      <c r="H19" s="112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1.3184830039555642</v>
      </c>
      <c r="D20" s="10" t="s">
        <v>114</v>
      </c>
      <c r="E20" s="44"/>
      <c r="F20" s="14" t="s">
        <v>18</v>
      </c>
      <c r="G20" s="20">
        <f>ABS(G14/L_Force)</f>
        <v>3.297363088576462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1.4110873589874746</v>
      </c>
      <c r="D21" s="10" t="s">
        <v>115</v>
      </c>
      <c r="E21" s="44"/>
      <c r="F21" s="14" t="s">
        <v>19</v>
      </c>
      <c r="G21" s="20">
        <f>ABS(G15/L_Force)</f>
        <v>3.6585260152314594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1.1580816356263461</v>
      </c>
      <c r="D22" s="10" t="s">
        <v>116</v>
      </c>
      <c r="E22" s="44"/>
      <c r="F22" s="14" t="s">
        <v>20</v>
      </c>
      <c r="G22" s="20">
        <f>ABS(G16/(Vehicle_Mass/2))</f>
        <v>3.4206289984297884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1.8716544191781022</v>
      </c>
      <c r="D23" s="6" t="s">
        <v>117</v>
      </c>
      <c r="E23" s="45"/>
      <c r="F23" s="18" t="s">
        <v>22</v>
      </c>
      <c r="G23" s="20">
        <f>ABS(G8/L_Force)</f>
        <v>1.3994443592418748</v>
      </c>
      <c r="H23" s="6" t="s">
        <v>117</v>
      </c>
      <c r="I23" s="45"/>
    </row>
    <row r="24" spans="2:7" ht="12.75">
      <c r="B24" s="129" t="s">
        <v>36</v>
      </c>
      <c r="C24" s="130"/>
      <c r="D24" s="130"/>
      <c r="E24" s="130"/>
      <c r="F24" s="130"/>
      <c r="G24" s="130"/>
    </row>
    <row r="25" spans="2:9" ht="12.75">
      <c r="B25" s="131"/>
      <c r="C25" s="132"/>
      <c r="D25" s="132"/>
      <c r="E25" s="132"/>
      <c r="F25" s="132"/>
      <c r="G25" s="133"/>
      <c r="I25" s="17" t="s">
        <v>129</v>
      </c>
    </row>
    <row r="26" spans="2:9" ht="12.75">
      <c r="B26" s="134"/>
      <c r="C26" s="135" t="s">
        <v>37</v>
      </c>
      <c r="D26" s="135" t="s">
        <v>39</v>
      </c>
      <c r="E26" s="135" t="s">
        <v>48</v>
      </c>
      <c r="F26" s="136"/>
      <c r="G26" s="12"/>
      <c r="I26" s="17" t="s">
        <v>41</v>
      </c>
    </row>
    <row r="27" spans="2:9" ht="12.75">
      <c r="B27" s="134"/>
      <c r="C27" s="137" t="s">
        <v>38</v>
      </c>
      <c r="D27" s="137" t="s">
        <v>40</v>
      </c>
      <c r="E27" s="137" t="s">
        <v>49</v>
      </c>
      <c r="F27" s="136"/>
      <c r="G27" s="12"/>
      <c r="I27" s="17" t="s">
        <v>66</v>
      </c>
    </row>
    <row r="28" spans="2:9" ht="12.75">
      <c r="B28" s="138" t="s">
        <v>52</v>
      </c>
      <c r="C28" s="139">
        <v>10500000</v>
      </c>
      <c r="D28" s="139">
        <v>50000</v>
      </c>
      <c r="E28" s="140">
        <v>0.1</v>
      </c>
      <c r="F28" s="141"/>
      <c r="G28" s="142"/>
      <c r="I28" s="209" t="s">
        <v>143</v>
      </c>
    </row>
    <row r="29" spans="2:7" ht="12.75">
      <c r="B29" s="138" t="s">
        <v>50</v>
      </c>
      <c r="C29" s="139">
        <v>10000000</v>
      </c>
      <c r="D29" s="139">
        <v>39900</v>
      </c>
      <c r="E29" s="140">
        <v>0.0975</v>
      </c>
      <c r="F29" s="141"/>
      <c r="G29" s="142"/>
    </row>
    <row r="30" spans="2:7" ht="12.75">
      <c r="B30" s="138" t="s">
        <v>51</v>
      </c>
      <c r="C30" s="139">
        <v>10400000</v>
      </c>
      <c r="D30" s="139">
        <v>73200</v>
      </c>
      <c r="E30" s="140">
        <v>0.102</v>
      </c>
      <c r="F30" s="141"/>
      <c r="G30" s="142"/>
    </row>
    <row r="31" spans="2:7" ht="12.75">
      <c r="B31" s="143" t="s">
        <v>103</v>
      </c>
      <c r="C31" s="139">
        <v>29000000</v>
      </c>
      <c r="D31" s="139">
        <v>50000</v>
      </c>
      <c r="E31" s="140">
        <v>0.284</v>
      </c>
      <c r="F31" s="141" t="s">
        <v>44</v>
      </c>
      <c r="G31" s="142"/>
    </row>
    <row r="32" spans="2:7" ht="12.75">
      <c r="B32" s="138" t="s">
        <v>104</v>
      </c>
      <c r="C32" s="139">
        <v>29700000</v>
      </c>
      <c r="D32" s="139">
        <v>63100</v>
      </c>
      <c r="E32" s="140">
        <v>0.284</v>
      </c>
      <c r="F32" s="141" t="s">
        <v>45</v>
      </c>
      <c r="G32" s="142"/>
    </row>
    <row r="33" spans="2:7" ht="12.75">
      <c r="B33" s="138" t="s">
        <v>105</v>
      </c>
      <c r="C33" s="139">
        <v>29700000</v>
      </c>
      <c r="D33" s="139">
        <v>110000</v>
      </c>
      <c r="E33" s="140">
        <v>0.284</v>
      </c>
      <c r="F33" s="141" t="s">
        <v>46</v>
      </c>
      <c r="G33" s="142"/>
    </row>
    <row r="34" spans="2:7" ht="12.75">
      <c r="B34" s="138" t="s">
        <v>106</v>
      </c>
      <c r="C34" s="139">
        <v>29700000</v>
      </c>
      <c r="D34" s="139">
        <v>114000</v>
      </c>
      <c r="E34" s="140">
        <v>0.284</v>
      </c>
      <c r="F34" s="141" t="s">
        <v>45</v>
      </c>
      <c r="G34" s="142"/>
    </row>
    <row r="35" spans="2:7" ht="12.75">
      <c r="B35" s="138" t="s">
        <v>107</v>
      </c>
      <c r="C35" s="139">
        <v>29700000</v>
      </c>
      <c r="D35" s="139">
        <v>160000</v>
      </c>
      <c r="E35" s="140">
        <v>0.284</v>
      </c>
      <c r="F35" s="141" t="s">
        <v>47</v>
      </c>
      <c r="G35" s="142"/>
    </row>
    <row r="36" spans="2:7" ht="12.75">
      <c r="B36" s="138" t="s">
        <v>53</v>
      </c>
      <c r="C36" s="139">
        <v>16500000</v>
      </c>
      <c r="D36" s="139">
        <v>128000</v>
      </c>
      <c r="E36" s="140">
        <v>0.16</v>
      </c>
      <c r="F36" s="141" t="s">
        <v>54</v>
      </c>
      <c r="G36" s="142"/>
    </row>
    <row r="37" spans="2:7" ht="12.75">
      <c r="B37" s="144"/>
      <c r="C37" s="33"/>
      <c r="D37" s="32"/>
      <c r="E37" s="32"/>
      <c r="F37" s="32"/>
      <c r="G37" s="145"/>
    </row>
    <row r="38" spans="2:7" ht="12.75">
      <c r="B38" s="144"/>
      <c r="C38" s="33"/>
      <c r="D38" s="32"/>
      <c r="E38" s="32"/>
      <c r="F38" s="32"/>
      <c r="G38" s="145"/>
    </row>
    <row r="39" spans="2:7" ht="12.75">
      <c r="B39" s="144"/>
      <c r="C39" s="33"/>
      <c r="D39" s="32"/>
      <c r="E39" s="32"/>
      <c r="F39" s="32"/>
      <c r="G39" s="145"/>
    </row>
    <row r="40" spans="2:7" ht="12.75">
      <c r="B40" s="144"/>
      <c r="C40" s="33"/>
      <c r="D40" s="32"/>
      <c r="E40" s="32"/>
      <c r="F40" s="32"/>
      <c r="G40" s="145"/>
    </row>
    <row r="41" spans="2:7" ht="12.75">
      <c r="B41" s="144"/>
      <c r="C41" s="33"/>
      <c r="D41" s="32"/>
      <c r="E41" s="32"/>
      <c r="F41" s="32"/>
      <c r="G41" s="145"/>
    </row>
    <row r="42" spans="2:7" ht="12.75">
      <c r="B42" s="144"/>
      <c r="C42" s="33"/>
      <c r="D42" s="32"/>
      <c r="E42" s="32"/>
      <c r="F42" s="32"/>
      <c r="G42" s="145"/>
    </row>
    <row r="43" spans="2:7" ht="12.75">
      <c r="B43" s="144"/>
      <c r="C43" s="33"/>
      <c r="D43" s="32"/>
      <c r="E43" s="32"/>
      <c r="F43" s="32"/>
      <c r="G43" s="145"/>
    </row>
    <row r="44" spans="2:7" ht="12.75">
      <c r="B44" s="144"/>
      <c r="C44" s="33"/>
      <c r="D44" s="32"/>
      <c r="E44" s="32"/>
      <c r="F44" s="32"/>
      <c r="G44" s="145"/>
    </row>
    <row r="45" spans="2:7" ht="12.75">
      <c r="B45" s="144"/>
      <c r="C45" s="33"/>
      <c r="D45" s="32"/>
      <c r="E45" s="32"/>
      <c r="F45" s="32"/>
      <c r="G45" s="145"/>
    </row>
    <row r="46" spans="2:7" ht="12.75">
      <c r="B46" s="144"/>
      <c r="C46" s="33"/>
      <c r="D46" s="32"/>
      <c r="E46" s="32"/>
      <c r="F46" s="32"/>
      <c r="G46" s="145"/>
    </row>
    <row r="47" spans="2:7" ht="12.75">
      <c r="B47" s="144"/>
      <c r="C47" s="33"/>
      <c r="D47" s="32"/>
      <c r="E47" s="32"/>
      <c r="F47" s="32"/>
      <c r="G47" s="145"/>
    </row>
    <row r="48" spans="2:7" ht="12.75">
      <c r="B48" s="144"/>
      <c r="C48" s="33"/>
      <c r="D48" s="32"/>
      <c r="E48" s="32"/>
      <c r="F48" s="32"/>
      <c r="G48" s="145"/>
    </row>
    <row r="49" spans="2:7" ht="12.75">
      <c r="B49" s="144"/>
      <c r="C49" s="33"/>
      <c r="D49" s="32"/>
      <c r="E49" s="32"/>
      <c r="F49" s="32"/>
      <c r="G49" s="145"/>
    </row>
    <row r="50" spans="2:7" ht="12.75">
      <c r="B50" s="146"/>
      <c r="C50" s="147"/>
      <c r="D50" s="148"/>
      <c r="E50" s="148"/>
      <c r="F50" s="148"/>
      <c r="G50" s="149"/>
    </row>
    <row r="51" ht="12.75">
      <c r="B51" s="164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8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9" t="s">
        <v>41</v>
      </c>
    </row>
    <row r="4" ht="12.75">
      <c r="N4" s="79" t="s">
        <v>66</v>
      </c>
    </row>
    <row r="5" ht="12.75">
      <c r="N5" s="209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zoomScalePageLayoutView="0" workbookViewId="0" topLeftCell="A1">
      <selection activeCell="V77" sqref="V77"/>
    </sheetView>
  </sheetViews>
  <sheetFormatPr defaultColWidth="11.421875" defaultRowHeight="12.75"/>
  <cols>
    <col min="1" max="1" width="1.421875" style="172" customWidth="1"/>
    <col min="2" max="2" width="5.7109375" style="195" customWidth="1"/>
    <col min="3" max="3" width="9.00390625" style="172" bestFit="1" customWidth="1"/>
    <col min="4" max="4" width="5.7109375" style="172" bestFit="1" customWidth="1"/>
    <col min="5" max="5" width="8.57421875" style="172" bestFit="1" customWidth="1"/>
    <col min="6" max="6" width="5.7109375" style="172" bestFit="1" customWidth="1"/>
    <col min="7" max="7" width="14.00390625" style="172" bestFit="1" customWidth="1"/>
    <col min="8" max="8" width="8.7109375" style="172" bestFit="1" customWidth="1"/>
    <col min="9" max="9" width="9.140625" style="172" bestFit="1" customWidth="1"/>
    <col min="10" max="10" width="10.00390625" style="172" bestFit="1" customWidth="1"/>
    <col min="11" max="11" width="3.57421875" style="172" customWidth="1"/>
    <col min="12" max="12" width="9.28125" style="172" customWidth="1"/>
    <col min="13" max="13" width="6.28125" style="172" bestFit="1" customWidth="1"/>
    <col min="14" max="14" width="6.7109375" style="172" bestFit="1" customWidth="1"/>
    <col min="15" max="15" width="11.421875" style="172" customWidth="1"/>
    <col min="16" max="16" width="17.421875" style="172" bestFit="1" customWidth="1"/>
    <col min="17" max="16384" width="11.421875" style="172" customWidth="1"/>
  </cols>
  <sheetData>
    <row r="1" ht="20.25">
      <c r="B1" s="190" t="str">
        <f>Main!B1</f>
        <v>4 Bar Linkage Calculator v3.0</v>
      </c>
    </row>
    <row r="2" spans="2:24" s="177" customFormat="1" ht="15">
      <c r="B2" s="191" t="s">
        <v>77</v>
      </c>
      <c r="C2" s="174"/>
      <c r="D2" s="174"/>
      <c r="E2" s="174"/>
      <c r="F2" s="174"/>
      <c r="G2" s="174"/>
      <c r="H2" s="174"/>
      <c r="I2" s="174"/>
      <c r="J2" s="175"/>
      <c r="K2" s="176"/>
      <c r="L2" s="173" t="s">
        <v>78</v>
      </c>
      <c r="M2" s="174"/>
      <c r="N2" s="175"/>
      <c r="P2" s="17" t="s">
        <v>129</v>
      </c>
      <c r="X2" s="179"/>
    </row>
    <row r="3" spans="2:16" ht="12.75">
      <c r="B3" s="192"/>
      <c r="C3" s="180" t="s">
        <v>71</v>
      </c>
      <c r="D3" s="181"/>
      <c r="E3" s="180" t="s">
        <v>72</v>
      </c>
      <c r="F3" s="181"/>
      <c r="G3" s="180" t="s">
        <v>74</v>
      </c>
      <c r="H3" s="181"/>
      <c r="I3" s="172" t="s">
        <v>124</v>
      </c>
      <c r="J3" s="205">
        <f>Wheelbase*20</f>
        <v>2000</v>
      </c>
      <c r="K3" s="182"/>
      <c r="L3" s="183" t="s">
        <v>84</v>
      </c>
      <c r="M3" s="184">
        <v>80</v>
      </c>
      <c r="N3" s="185"/>
      <c r="P3" s="178" t="s">
        <v>41</v>
      </c>
    </row>
    <row r="4" spans="2:16" ht="12.75">
      <c r="B4" s="193" t="s">
        <v>80</v>
      </c>
      <c r="C4" s="66" t="s">
        <v>1</v>
      </c>
      <c r="D4" s="67" t="s">
        <v>5</v>
      </c>
      <c r="E4" s="66" t="s">
        <v>1</v>
      </c>
      <c r="F4" s="67" t="s">
        <v>5</v>
      </c>
      <c r="G4" s="66" t="s">
        <v>1</v>
      </c>
      <c r="H4" s="67" t="s">
        <v>5</v>
      </c>
      <c r="I4" s="180" t="s">
        <v>102</v>
      </c>
      <c r="J4" s="186">
        <v>4</v>
      </c>
      <c r="K4" s="187"/>
      <c r="L4" s="180" t="s">
        <v>4</v>
      </c>
      <c r="M4" s="188"/>
      <c r="N4" s="181"/>
      <c r="P4" s="178" t="s">
        <v>66</v>
      </c>
    </row>
    <row r="5" spans="2:16" ht="12.75">
      <c r="B5" s="193">
        <v>0</v>
      </c>
      <c r="C5" s="66">
        <f aca="true" t="shared" si="0" ref="C5:C29">(Wheelbase-(SIN(RADIANS(B5)))*(Tire_Diameter/2))</f>
        <v>100</v>
      </c>
      <c r="D5" s="67">
        <f aca="true" t="shared" si="1" ref="D5:D29">IF((Tire_Rolling_Radius-((COS(RADIANS(B5)))*(Tire_Diameter/2)))&lt;0,0,(Tire_Rolling_Radius-((COS(RADIANS(B5)))*(Tire_Diameter/2))))</f>
        <v>0</v>
      </c>
      <c r="E5" s="66">
        <f aca="true" t="shared" si="2" ref="E5:E29">((SIN(RADIANS(B5)))*(Tire_Diameter/2))</f>
        <v>0</v>
      </c>
      <c r="F5" s="67">
        <f aca="true" t="shared" si="3" ref="F5:F29">(D5)</f>
        <v>0</v>
      </c>
      <c r="G5" s="66">
        <f>UF_X</f>
        <v>20</v>
      </c>
      <c r="H5" s="67">
        <f>UF_Z</f>
        <v>24</v>
      </c>
      <c r="I5" s="66" t="s">
        <v>1</v>
      </c>
      <c r="J5" s="67" t="s">
        <v>5</v>
      </c>
      <c r="K5" s="187"/>
      <c r="L5" s="66" t="s">
        <v>1</v>
      </c>
      <c r="M5" s="187" t="s">
        <v>0</v>
      </c>
      <c r="N5" s="67" t="s">
        <v>85</v>
      </c>
      <c r="P5" s="209" t="s">
        <v>143</v>
      </c>
    </row>
    <row r="6" spans="2:16" ht="12.75">
      <c r="B6" s="193">
        <v>15</v>
      </c>
      <c r="C6" s="66">
        <f t="shared" si="0"/>
        <v>95.47066671070588</v>
      </c>
      <c r="D6" s="67">
        <f t="shared" si="1"/>
        <v>0.5962980399413063</v>
      </c>
      <c r="E6" s="66">
        <f t="shared" si="2"/>
        <v>4.529333289294113</v>
      </c>
      <c r="F6" s="67">
        <f t="shared" si="3"/>
        <v>0.5962980399413063</v>
      </c>
      <c r="G6" s="64">
        <f>IF(ABS(IC_X)&gt;J3,$J$3,IC_X)</f>
        <v>87.09302325581393</v>
      </c>
      <c r="H6" s="65">
        <f>IF(G6=J3,G6*VectorCalculations!C17+UA_Z,IC_Z)</f>
        <v>22.322674418604652</v>
      </c>
      <c r="I6" s="66">
        <f>SIN(RADIANS(B5))*$J$4/2</f>
        <v>0</v>
      </c>
      <c r="J6" s="67">
        <f>(COS(RADIANS(B5))*$J$4/2)+Tire_Rolling_Radius</f>
        <v>19.5</v>
      </c>
      <c r="K6" s="187"/>
      <c r="L6" s="66">
        <f>UF_X</f>
        <v>20</v>
      </c>
      <c r="M6" s="187">
        <f>UF_Y</f>
        <v>12</v>
      </c>
      <c r="N6" s="67">
        <f>(M6+$M$3)</f>
        <v>92</v>
      </c>
      <c r="P6" s="187"/>
    </row>
    <row r="7" spans="2:16" ht="12.75">
      <c r="B7" s="193">
        <v>30</v>
      </c>
      <c r="C7" s="66">
        <f t="shared" si="0"/>
        <v>91.25</v>
      </c>
      <c r="D7" s="67">
        <f t="shared" si="1"/>
        <v>2.3445554337723227</v>
      </c>
      <c r="E7" s="66">
        <f t="shared" si="2"/>
        <v>8.749999999999998</v>
      </c>
      <c r="F7" s="67">
        <f t="shared" si="3"/>
        <v>2.3445554337723227</v>
      </c>
      <c r="G7" s="180" t="s">
        <v>73</v>
      </c>
      <c r="H7" s="181"/>
      <c r="I7" s="66">
        <f>SIN(RADIANS(B7))*$J$4/2</f>
        <v>0.9999999999999999</v>
      </c>
      <c r="J7" s="67">
        <f>(COS(RADIANS(B7))*$J$4/2)+Tire_Rolling_Radius</f>
        <v>19.23205080756888</v>
      </c>
      <c r="K7" s="187"/>
      <c r="L7" s="66">
        <f>UA_X</f>
        <v>0</v>
      </c>
      <c r="M7" s="187">
        <f>UA_Y</f>
        <v>7</v>
      </c>
      <c r="N7" s="67">
        <f>(M7+$M$3)</f>
        <v>87</v>
      </c>
      <c r="P7" s="187"/>
    </row>
    <row r="8" spans="2:16" ht="12.75">
      <c r="B8" s="193">
        <v>45</v>
      </c>
      <c r="C8" s="66">
        <f t="shared" si="0"/>
        <v>87.62563132923542</v>
      </c>
      <c r="D8" s="67">
        <f t="shared" si="1"/>
        <v>5.125631329235418</v>
      </c>
      <c r="E8" s="66">
        <f t="shared" si="2"/>
        <v>12.37436867076458</v>
      </c>
      <c r="F8" s="67">
        <f t="shared" si="3"/>
        <v>5.125631329235418</v>
      </c>
      <c r="G8" s="66" t="s">
        <v>1</v>
      </c>
      <c r="H8" s="67" t="s">
        <v>5</v>
      </c>
      <c r="I8" s="66">
        <f>SIN(RADIANS(B9))*$J$4/2</f>
        <v>1.7320508075688772</v>
      </c>
      <c r="J8" s="67">
        <f>(COS(RADIANS(B9))*$J$4/2)+Tire_Rolling_Radius</f>
        <v>18.5</v>
      </c>
      <c r="K8" s="187"/>
      <c r="L8" s="66">
        <f>UF_X</f>
        <v>20</v>
      </c>
      <c r="M8" s="187">
        <f>(-M6)</f>
        <v>-12</v>
      </c>
      <c r="N8" s="67">
        <f>(M8+$M$3)</f>
        <v>68</v>
      </c>
      <c r="P8" s="182"/>
    </row>
    <row r="9" spans="2:16" ht="12.75">
      <c r="B9" s="193">
        <v>60</v>
      </c>
      <c r="C9" s="66">
        <f t="shared" si="0"/>
        <v>84.84455543377233</v>
      </c>
      <c r="D9" s="67">
        <f t="shared" si="1"/>
        <v>8.749999999999998</v>
      </c>
      <c r="E9" s="66">
        <f t="shared" si="2"/>
        <v>15.155444566227676</v>
      </c>
      <c r="F9" s="67">
        <f t="shared" si="3"/>
        <v>8.749999999999998</v>
      </c>
      <c r="G9" s="66">
        <f>LF_X</f>
        <v>29.5</v>
      </c>
      <c r="H9" s="67">
        <f>LF_Z</f>
        <v>19</v>
      </c>
      <c r="I9" s="66">
        <f>SIN(RADIANS(B11))*$J$4/2</f>
        <v>2</v>
      </c>
      <c r="J9" s="67">
        <f>(COS(RADIANS(B11))*$J$4/2)+Tire_Rolling_Radius</f>
        <v>17.5</v>
      </c>
      <c r="K9" s="187"/>
      <c r="L9" s="64">
        <f>UA_X</f>
        <v>0</v>
      </c>
      <c r="M9" s="189">
        <f>(-M7)</f>
        <v>-7</v>
      </c>
      <c r="N9" s="65">
        <f>(M9+$M$3)</f>
        <v>73</v>
      </c>
      <c r="P9" s="187"/>
    </row>
    <row r="10" spans="2:14" ht="12.75">
      <c r="B10" s="193">
        <v>75</v>
      </c>
      <c r="C10" s="66">
        <f t="shared" si="0"/>
        <v>83.0962980399413</v>
      </c>
      <c r="D10" s="67">
        <f t="shared" si="1"/>
        <v>12.970666710705887</v>
      </c>
      <c r="E10" s="66">
        <f t="shared" si="2"/>
        <v>16.903701960058694</v>
      </c>
      <c r="F10" s="67">
        <f t="shared" si="3"/>
        <v>12.970666710705887</v>
      </c>
      <c r="G10" s="64">
        <f>IF(ABS(IC_X)&gt;J3,$J$3,IC_X)</f>
        <v>87.09302325581393</v>
      </c>
      <c r="H10" s="65">
        <f>IF(G10=J3,G10*VectorCalculations!C29+LA_Z,IC_Z)</f>
        <v>22.322674418604652</v>
      </c>
      <c r="I10" s="66">
        <f>SIN(RADIANS(B13))*$J$4/2</f>
        <v>1.7320508075688774</v>
      </c>
      <c r="J10" s="67">
        <f>(COS(RADIANS(B13))*$J$4/2)+Tire_Rolling_Radius</f>
        <v>16.5</v>
      </c>
      <c r="K10" s="187"/>
      <c r="L10" s="180" t="s">
        <v>74</v>
      </c>
      <c r="M10" s="188"/>
      <c r="N10" s="181"/>
    </row>
    <row r="11" spans="2:14" ht="12.75">
      <c r="B11" s="193">
        <v>90</v>
      </c>
      <c r="C11" s="66">
        <f t="shared" si="0"/>
        <v>82.5</v>
      </c>
      <c r="D11" s="67">
        <f t="shared" si="1"/>
        <v>17.5</v>
      </c>
      <c r="E11" s="66">
        <f t="shared" si="2"/>
        <v>17.5</v>
      </c>
      <c r="F11" s="67">
        <f t="shared" si="3"/>
        <v>17.5</v>
      </c>
      <c r="G11" s="180" t="s">
        <v>75</v>
      </c>
      <c r="H11" s="181"/>
      <c r="I11" s="66">
        <f>SIN(RADIANS(B15))*$J$4/2</f>
        <v>0.9999999999999999</v>
      </c>
      <c r="J11" s="67">
        <f>(COS(RADIANS(B15))*$J$4/2)+Tire_Rolling_Radius</f>
        <v>15.767949192431123</v>
      </c>
      <c r="K11" s="187"/>
      <c r="L11" s="66" t="s">
        <v>1</v>
      </c>
      <c r="M11" s="187" t="s">
        <v>0</v>
      </c>
      <c r="N11" s="67"/>
    </row>
    <row r="12" spans="2:14" ht="12.75">
      <c r="B12" s="193">
        <v>105</v>
      </c>
      <c r="C12" s="66">
        <f t="shared" si="0"/>
        <v>83.0962980399413</v>
      </c>
      <c r="D12" s="67">
        <f t="shared" si="1"/>
        <v>22.029333289294115</v>
      </c>
      <c r="E12" s="66">
        <f t="shared" si="2"/>
        <v>16.903701960058694</v>
      </c>
      <c r="F12" s="67">
        <f t="shared" si="3"/>
        <v>22.029333289294115</v>
      </c>
      <c r="G12" s="66" t="s">
        <v>1</v>
      </c>
      <c r="H12" s="67" t="s">
        <v>5</v>
      </c>
      <c r="I12" s="66">
        <f>SIN(RADIANS(B17))*$J$4/2</f>
        <v>2.45029690981724E-16</v>
      </c>
      <c r="J12" s="67">
        <f>(COS(RADIANS(B17))*$J$4/2)+Tire_Rolling_Radius</f>
        <v>15.5</v>
      </c>
      <c r="K12" s="187"/>
      <c r="L12" s="66">
        <f>L7</f>
        <v>0</v>
      </c>
      <c r="M12" s="187">
        <f>M7</f>
        <v>7</v>
      </c>
      <c r="N12" s="67">
        <f>(M12+$M$3)</f>
        <v>87</v>
      </c>
    </row>
    <row r="13" spans="2:14" ht="12.75">
      <c r="B13" s="193">
        <v>120</v>
      </c>
      <c r="C13" s="66">
        <f t="shared" si="0"/>
        <v>84.84455543377233</v>
      </c>
      <c r="D13" s="67">
        <f t="shared" si="1"/>
        <v>26.249999999999996</v>
      </c>
      <c r="E13" s="66">
        <f t="shared" si="2"/>
        <v>15.155444566227677</v>
      </c>
      <c r="F13" s="67">
        <f t="shared" si="3"/>
        <v>26.249999999999996</v>
      </c>
      <c r="G13" s="66">
        <v>0</v>
      </c>
      <c r="H13" s="67">
        <v>0</v>
      </c>
      <c r="I13" s="66">
        <f>SIN(RADIANS(B19))*$J$4/2</f>
        <v>-1.0000000000000002</v>
      </c>
      <c r="J13" s="67">
        <f>(COS(RADIANS(B19))*$J$4/2)+Tire_Rolling_Radius</f>
        <v>15.767949192431123</v>
      </c>
      <c r="K13" s="187"/>
      <c r="L13" s="66">
        <f>IF(VectorCalculations!C13="Parallel",$J$3,VectorCalculations!C13)</f>
        <v>-28</v>
      </c>
      <c r="M13" s="187">
        <f>IF(L13=J3,M12,VectorCalculations!D13)</f>
        <v>0</v>
      </c>
      <c r="N13" s="67">
        <f>(M13+$M$3)</f>
        <v>80</v>
      </c>
    </row>
    <row r="14" spans="2:14" ht="12.75">
      <c r="B14" s="193">
        <v>135</v>
      </c>
      <c r="C14" s="66">
        <f t="shared" si="0"/>
        <v>87.62563132923542</v>
      </c>
      <c r="D14" s="67">
        <f t="shared" si="1"/>
        <v>29.874368670764582</v>
      </c>
      <c r="E14" s="66">
        <f t="shared" si="2"/>
        <v>12.374368670764582</v>
      </c>
      <c r="F14" s="67">
        <f t="shared" si="3"/>
        <v>29.874368670764582</v>
      </c>
      <c r="G14" s="66">
        <f>IF(ABS(IC_X)&gt;J3,$J$3,IC_X)</f>
        <v>87.09302325581393</v>
      </c>
      <c r="H14" s="67">
        <f>IF(G14=J3,G14*VectorCalculations!C29+UA_Z,IC_Z)</f>
        <v>22.322674418604652</v>
      </c>
      <c r="I14" s="66">
        <f>SIN(RADIANS(B21))*$J$4/2</f>
        <v>-1.7320508075688767</v>
      </c>
      <c r="J14" s="67">
        <f>(COS(RADIANS(B21))*$J$4/2)+Tire_Rolling_Radius</f>
        <v>16.5</v>
      </c>
      <c r="K14" s="187"/>
      <c r="L14" s="66">
        <f>IF(VectorCalculations!C13="Parallel",$J$3,VectorCalculations!C13)</f>
        <v>-28</v>
      </c>
      <c r="M14" s="187">
        <f>IF(L14=J3,M15,VectorCalculations!D13)</f>
        <v>0</v>
      </c>
      <c r="N14" s="67">
        <f>(M14+$M$3)</f>
        <v>80</v>
      </c>
    </row>
    <row r="15" spans="2:14" ht="12.75">
      <c r="B15" s="193">
        <v>150</v>
      </c>
      <c r="C15" s="66">
        <f t="shared" si="0"/>
        <v>91.25</v>
      </c>
      <c r="D15" s="67">
        <f t="shared" si="1"/>
        <v>32.65544456622768</v>
      </c>
      <c r="E15" s="66">
        <f t="shared" si="2"/>
        <v>8.749999999999998</v>
      </c>
      <c r="F15" s="67">
        <f t="shared" si="3"/>
        <v>32.65544456622768</v>
      </c>
      <c r="G15" s="64">
        <f>Wheelbase</f>
        <v>100</v>
      </c>
      <c r="H15" s="65">
        <f>FORECAST(G15,H13:H14,G13:G14)</f>
        <v>25.630841121495333</v>
      </c>
      <c r="I15" s="66">
        <f>SIN(RADIANS(B23))*$J$4/2</f>
        <v>-2</v>
      </c>
      <c r="J15" s="67">
        <f>(COS(RADIANS(B23))*$J$4/2)+Tire_Rolling_Radius</f>
        <v>17.5</v>
      </c>
      <c r="K15" s="187"/>
      <c r="L15" s="64">
        <f>L12</f>
        <v>0</v>
      </c>
      <c r="M15" s="189">
        <f>-M12</f>
        <v>-7</v>
      </c>
      <c r="N15" s="65">
        <f>(M15+$M$3)</f>
        <v>73</v>
      </c>
    </row>
    <row r="16" spans="2:14" ht="12.75">
      <c r="B16" s="193">
        <v>165</v>
      </c>
      <c r="C16" s="66">
        <f t="shared" si="0"/>
        <v>95.47066671070588</v>
      </c>
      <c r="D16" s="67">
        <f t="shared" si="1"/>
        <v>34.4037019600587</v>
      </c>
      <c r="E16" s="66">
        <f t="shared" si="2"/>
        <v>4.529333289294118</v>
      </c>
      <c r="F16" s="67">
        <f t="shared" si="3"/>
        <v>34.4037019600587</v>
      </c>
      <c r="G16" s="180" t="s">
        <v>127</v>
      </c>
      <c r="H16" s="181"/>
      <c r="I16" s="66">
        <f>SIN(RADIANS(B25))*$J$4/2</f>
        <v>-1.7320508075688772</v>
      </c>
      <c r="J16" s="67">
        <f>(COS(RADIANS(B25))*$J$4/2)+Tire_Rolling_Radius</f>
        <v>18.5</v>
      </c>
      <c r="K16" s="187"/>
      <c r="L16" s="180" t="s">
        <v>6</v>
      </c>
      <c r="M16" s="188"/>
      <c r="N16" s="181"/>
    </row>
    <row r="17" spans="2:14" ht="12.75">
      <c r="B17" s="193">
        <v>180</v>
      </c>
      <c r="C17" s="66">
        <f t="shared" si="0"/>
        <v>100</v>
      </c>
      <c r="D17" s="67">
        <f t="shared" si="1"/>
        <v>35</v>
      </c>
      <c r="E17" s="66">
        <f t="shared" si="2"/>
        <v>2.144009796090085E-15</v>
      </c>
      <c r="F17" s="67">
        <f t="shared" si="3"/>
        <v>35</v>
      </c>
      <c r="G17" s="66" t="s">
        <v>1</v>
      </c>
      <c r="H17" s="67" t="s">
        <v>5</v>
      </c>
      <c r="I17" s="66">
        <f>SIN(RADIANS(B27))*$J$4/2</f>
        <v>-1.0000000000000009</v>
      </c>
      <c r="J17" s="67">
        <f>(COS(RADIANS(B27))*$J$4/2)+Tire_Rolling_Radius</f>
        <v>19.232050807568875</v>
      </c>
      <c r="K17" s="187"/>
      <c r="L17" s="66" t="s">
        <v>1</v>
      </c>
      <c r="M17" s="187" t="s">
        <v>0</v>
      </c>
      <c r="N17" s="67"/>
    </row>
    <row r="18" spans="2:14" ht="12.75">
      <c r="B18" s="193">
        <v>195</v>
      </c>
      <c r="C18" s="66">
        <f t="shared" si="0"/>
        <v>104.52933328929412</v>
      </c>
      <c r="D18" s="67">
        <f t="shared" si="1"/>
        <v>34.4037019600587</v>
      </c>
      <c r="E18" s="66">
        <f t="shared" si="2"/>
        <v>-4.529333289294114</v>
      </c>
      <c r="F18" s="67">
        <f t="shared" si="3"/>
        <v>34.4037019600587</v>
      </c>
      <c r="G18" s="66">
        <v>-20</v>
      </c>
      <c r="H18" s="67">
        <f>VectorCalculations!C4</f>
        <v>37.725806451612904</v>
      </c>
      <c r="I18" s="64">
        <f>SIN(RADIANS(B29))*$J$4/2</f>
        <v>-4.90059381963448E-16</v>
      </c>
      <c r="J18" s="65">
        <f>(COS(RADIANS(B29))*$J$4/2)+Tire_Rolling_Radius</f>
        <v>19.5</v>
      </c>
      <c r="L18" s="66">
        <f>LF_X</f>
        <v>29.5</v>
      </c>
      <c r="M18" s="187">
        <f>LF_Y</f>
        <v>12</v>
      </c>
      <c r="N18" s="67">
        <f>(M18+$M$3)</f>
        <v>92</v>
      </c>
    </row>
    <row r="19" spans="2:14" ht="12.75">
      <c r="B19" s="193">
        <v>210</v>
      </c>
      <c r="C19" s="66">
        <f t="shared" si="0"/>
        <v>108.75</v>
      </c>
      <c r="D19" s="67">
        <f t="shared" si="1"/>
        <v>32.65544456622767</v>
      </c>
      <c r="E19" s="66">
        <f t="shared" si="2"/>
        <v>-8.750000000000002</v>
      </c>
      <c r="F19" s="67">
        <f t="shared" si="3"/>
        <v>32.65544456622767</v>
      </c>
      <c r="G19" s="64">
        <v>120</v>
      </c>
      <c r="H19" s="65">
        <f>VectorCalculations!C4</f>
        <v>37.725806451612904</v>
      </c>
      <c r="L19" s="66">
        <f>LA_X</f>
        <v>3.5</v>
      </c>
      <c r="M19" s="187">
        <f>LA_Y</f>
        <v>16</v>
      </c>
      <c r="N19" s="67">
        <f>(M19+$M$3)</f>
        <v>96</v>
      </c>
    </row>
    <row r="20" spans="2:14" ht="12.75">
      <c r="B20" s="193">
        <v>225</v>
      </c>
      <c r="C20" s="66">
        <f t="shared" si="0"/>
        <v>112.37436867076458</v>
      </c>
      <c r="D20" s="67">
        <f t="shared" si="1"/>
        <v>29.874368670764582</v>
      </c>
      <c r="E20" s="66">
        <f t="shared" si="2"/>
        <v>-12.37436867076458</v>
      </c>
      <c r="F20" s="67">
        <f t="shared" si="3"/>
        <v>29.874368670764582</v>
      </c>
      <c r="G20" s="180" t="s">
        <v>76</v>
      </c>
      <c r="H20" s="181"/>
      <c r="L20" s="66">
        <f>(L18)</f>
        <v>29.5</v>
      </c>
      <c r="M20" s="187">
        <f>(-M18)</f>
        <v>-12</v>
      </c>
      <c r="N20" s="67">
        <f>(M20+$M$3)</f>
        <v>68</v>
      </c>
    </row>
    <row r="21" spans="2:14" ht="12.75">
      <c r="B21" s="193">
        <v>240</v>
      </c>
      <c r="C21" s="66">
        <f t="shared" si="0"/>
        <v>115.15544456622767</v>
      </c>
      <c r="D21" s="67">
        <f t="shared" si="1"/>
        <v>26.250000000000007</v>
      </c>
      <c r="E21" s="66">
        <f t="shared" si="2"/>
        <v>-15.155444566227672</v>
      </c>
      <c r="F21" s="67">
        <f t="shared" si="3"/>
        <v>26.250000000000007</v>
      </c>
      <c r="G21" s="66" t="s">
        <v>1</v>
      </c>
      <c r="H21" s="67" t="s">
        <v>5</v>
      </c>
      <c r="L21" s="64">
        <f>L19</f>
        <v>3.5</v>
      </c>
      <c r="M21" s="189">
        <f>(-M19)</f>
        <v>-16</v>
      </c>
      <c r="N21" s="65">
        <f>(M21+$M$3)</f>
        <v>64</v>
      </c>
    </row>
    <row r="22" spans="2:14" ht="12.75">
      <c r="B22" s="193">
        <v>255</v>
      </c>
      <c r="C22" s="66">
        <f t="shared" si="0"/>
        <v>116.9037019600587</v>
      </c>
      <c r="D22" s="67">
        <f t="shared" si="1"/>
        <v>22.02933328929411</v>
      </c>
      <c r="E22" s="66">
        <f t="shared" si="2"/>
        <v>-16.903701960058694</v>
      </c>
      <c r="F22" s="67">
        <f t="shared" si="3"/>
        <v>22.02933328929411</v>
      </c>
      <c r="G22" s="66">
        <v>0</v>
      </c>
      <c r="H22" s="67">
        <v>0</v>
      </c>
      <c r="L22" s="180" t="s">
        <v>73</v>
      </c>
      <c r="M22" s="188"/>
      <c r="N22" s="181"/>
    </row>
    <row r="23" spans="2:14" ht="12.75">
      <c r="B23" s="193">
        <v>270</v>
      </c>
      <c r="C23" s="66">
        <f t="shared" si="0"/>
        <v>117.5</v>
      </c>
      <c r="D23" s="67">
        <f t="shared" si="1"/>
        <v>17.500000000000004</v>
      </c>
      <c r="E23" s="66">
        <f t="shared" si="2"/>
        <v>-17.5</v>
      </c>
      <c r="F23" s="67">
        <f t="shared" si="3"/>
        <v>17.500000000000004</v>
      </c>
      <c r="G23" s="64">
        <f>Wheelbase</f>
        <v>100</v>
      </c>
      <c r="H23" s="65">
        <f>VectorCalculations!C4</f>
        <v>37.725806451612904</v>
      </c>
      <c r="L23" s="66" t="s">
        <v>1</v>
      </c>
      <c r="M23" s="187" t="s">
        <v>0</v>
      </c>
      <c r="N23" s="67"/>
    </row>
    <row r="24" spans="2:14" ht="12.75">
      <c r="B24" s="193">
        <v>285</v>
      </c>
      <c r="C24" s="66">
        <f t="shared" si="0"/>
        <v>116.9037019600587</v>
      </c>
      <c r="D24" s="67">
        <f t="shared" si="1"/>
        <v>12.970666710705895</v>
      </c>
      <c r="E24" s="66">
        <f t="shared" si="2"/>
        <v>-16.903701960058697</v>
      </c>
      <c r="F24" s="67">
        <f t="shared" si="3"/>
        <v>12.970666710705895</v>
      </c>
      <c r="G24" s="180" t="s">
        <v>79</v>
      </c>
      <c r="H24" s="181"/>
      <c r="L24" s="66">
        <f>L18</f>
        <v>29.5</v>
      </c>
      <c r="M24" s="187">
        <f>M18</f>
        <v>12</v>
      </c>
      <c r="N24" s="67">
        <f>(M24+$M$3)</f>
        <v>92</v>
      </c>
    </row>
    <row r="25" spans="2:14" ht="12.75">
      <c r="B25" s="193">
        <v>300</v>
      </c>
      <c r="C25" s="66">
        <f t="shared" si="0"/>
        <v>115.15544456622767</v>
      </c>
      <c r="D25" s="67">
        <f t="shared" si="1"/>
        <v>8.749999999999998</v>
      </c>
      <c r="E25" s="66">
        <f t="shared" si="2"/>
        <v>-15.155444566227676</v>
      </c>
      <c r="F25" s="67">
        <f t="shared" si="3"/>
        <v>8.749999999999998</v>
      </c>
      <c r="G25" s="66" t="s">
        <v>1</v>
      </c>
      <c r="H25" s="67" t="s">
        <v>5</v>
      </c>
      <c r="L25" s="66">
        <f>IF(VectorCalculations!C25="Parallel",$J$3,VectorCalculations!C25)</f>
        <v>107.5</v>
      </c>
      <c r="M25" s="187">
        <f>IF(L25=J3,M24,VectorCalculations!D13)</f>
        <v>0</v>
      </c>
      <c r="N25" s="67">
        <f>(M25+$M$3)</f>
        <v>80</v>
      </c>
    </row>
    <row r="26" spans="2:14" ht="12.75">
      <c r="B26" s="193">
        <v>315</v>
      </c>
      <c r="C26" s="66">
        <f t="shared" si="0"/>
        <v>112.37436867076458</v>
      </c>
      <c r="D26" s="67">
        <f t="shared" si="1"/>
        <v>5.125631329235421</v>
      </c>
      <c r="E26" s="66">
        <f t="shared" si="2"/>
        <v>-12.374368670764584</v>
      </c>
      <c r="F26" s="67">
        <f t="shared" si="3"/>
        <v>5.125631329235421</v>
      </c>
      <c r="G26" s="187">
        <f>IF(VectorCalculations!C13="Parallel",$J$3,VectorCalculations!C13)</f>
        <v>-28</v>
      </c>
      <c r="H26" s="67">
        <f>IF(VectorCalculations!E23="N/A",VectorCalculations!$C$32*G26+VectorCalculations!$C$33,IF(VectorCalculations!E13="N/A",(Plot!G26*VectorCalculations!C32)+VectorCalculations!C33,VectorCalculations!E13))</f>
        <v>25.2</v>
      </c>
      <c r="L26" s="66">
        <f>IF(VectorCalculations!C25="Parallel",$J$3,VectorCalculations!C25)</f>
        <v>107.5</v>
      </c>
      <c r="M26" s="187">
        <f>IF(L26=J3,M27,VectorCalculations!D13)</f>
        <v>0</v>
      </c>
      <c r="N26" s="67">
        <f>(M26+$M$3)</f>
        <v>80</v>
      </c>
    </row>
    <row r="27" spans="2:14" ht="12.75">
      <c r="B27" s="193">
        <v>330</v>
      </c>
      <c r="C27" s="66">
        <f t="shared" si="0"/>
        <v>108.75</v>
      </c>
      <c r="D27" s="67">
        <f t="shared" si="1"/>
        <v>2.344555433772328</v>
      </c>
      <c r="E27" s="66">
        <f t="shared" si="2"/>
        <v>-8.750000000000007</v>
      </c>
      <c r="F27" s="67">
        <f t="shared" si="3"/>
        <v>2.344555433772328</v>
      </c>
      <c r="G27" s="66">
        <v>0</v>
      </c>
      <c r="H27" s="67">
        <f>VectorCalculations!C33</f>
        <v>24.84870848708487</v>
      </c>
      <c r="L27" s="64">
        <f>L24</f>
        <v>29.5</v>
      </c>
      <c r="M27" s="189">
        <f>-M24</f>
        <v>-12</v>
      </c>
      <c r="N27" s="65">
        <f>(M27+$M$3)</f>
        <v>68</v>
      </c>
    </row>
    <row r="28" spans="2:8" ht="12.75">
      <c r="B28" s="193">
        <v>345</v>
      </c>
      <c r="C28" s="66">
        <f t="shared" si="0"/>
        <v>104.52933328929412</v>
      </c>
      <c r="D28" s="67">
        <f t="shared" si="1"/>
        <v>0.5962980399413063</v>
      </c>
      <c r="E28" s="66">
        <f t="shared" si="2"/>
        <v>-4.529333289294112</v>
      </c>
      <c r="F28" s="67">
        <f t="shared" si="3"/>
        <v>0.5962980399413063</v>
      </c>
      <c r="G28" s="64">
        <f>IF(VectorCalculations!C25="Parallel",$J$3,VectorCalculations!C25)</f>
        <v>107.5</v>
      </c>
      <c r="H28" s="65">
        <f>IF(VectorCalculations!E25="N/A",H6,VectorCalculations!E25)</f>
        <v>23.5</v>
      </c>
    </row>
    <row r="29" spans="2:6" ht="12.75">
      <c r="B29" s="194">
        <v>360</v>
      </c>
      <c r="C29" s="64">
        <f t="shared" si="0"/>
        <v>100</v>
      </c>
      <c r="D29" s="65">
        <f t="shared" si="1"/>
        <v>0</v>
      </c>
      <c r="E29" s="64">
        <f t="shared" si="2"/>
        <v>-4.28801959218017E-15</v>
      </c>
      <c r="F29" s="65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zoomScalePageLayoutView="0" workbookViewId="0" topLeftCell="A5">
      <selection activeCell="D30" sqref="D30:D31"/>
    </sheetView>
  </sheetViews>
  <sheetFormatPr defaultColWidth="9.140625" defaultRowHeight="12.75"/>
  <cols>
    <col min="1" max="1" width="1.421875" style="150" customWidth="1"/>
    <col min="2" max="2" width="8.57421875" style="151" customWidth="1"/>
    <col min="3" max="3" width="71.421875" style="150" customWidth="1"/>
    <col min="4" max="4" width="10.28125" style="151" customWidth="1"/>
    <col min="5" max="16384" width="9.140625" style="150" customWidth="1"/>
  </cols>
  <sheetData>
    <row r="1" ht="20.25">
      <c r="B1" s="80" t="str">
        <f>Main!B1</f>
        <v>4 Bar Linkage Calculator v3.0</v>
      </c>
    </row>
    <row r="2" ht="18">
      <c r="B2" s="152" t="s">
        <v>55</v>
      </c>
    </row>
    <row r="4" spans="2:4" ht="13.5" thickBot="1">
      <c r="B4" s="153" t="s">
        <v>56</v>
      </c>
      <c r="C4" s="154" t="s">
        <v>57</v>
      </c>
      <c r="D4" s="153" t="s">
        <v>58</v>
      </c>
    </row>
    <row r="5" spans="2:4" ht="6.75" customHeight="1">
      <c r="B5" s="155"/>
      <c r="C5" s="156"/>
      <c r="D5" s="155"/>
    </row>
    <row r="6" spans="2:4" ht="12.75">
      <c r="B6" s="157">
        <v>1.5</v>
      </c>
      <c r="C6" s="158" t="s">
        <v>59</v>
      </c>
      <c r="D6" s="159" t="s">
        <v>61</v>
      </c>
    </row>
    <row r="7" spans="2:3" ht="12.75">
      <c r="B7" s="160"/>
      <c r="C7" s="161" t="s">
        <v>60</v>
      </c>
    </row>
    <row r="8" spans="2:3" ht="12.75">
      <c r="B8" s="160"/>
      <c r="C8" s="161" t="s">
        <v>67</v>
      </c>
    </row>
    <row r="9" ht="12.75">
      <c r="C9" s="162"/>
    </row>
    <row r="10" spans="2:4" ht="12.75">
      <c r="B10" s="200">
        <v>2</v>
      </c>
      <c r="C10" s="158" t="s">
        <v>81</v>
      </c>
      <c r="D10" s="159" t="s">
        <v>83</v>
      </c>
    </row>
    <row r="11" spans="2:3" ht="12.75">
      <c r="B11" s="160"/>
      <c r="C11" s="161" t="s">
        <v>82</v>
      </c>
    </row>
    <row r="12" spans="2:4" ht="12.75">
      <c r="B12" s="201"/>
      <c r="C12" s="161" t="s">
        <v>90</v>
      </c>
      <c r="D12" s="150"/>
    </row>
    <row r="13" spans="2:3" ht="12.75">
      <c r="B13" s="201"/>
      <c r="C13" s="161" t="s">
        <v>92</v>
      </c>
    </row>
    <row r="14" spans="2:3" ht="12.75">
      <c r="B14" s="201"/>
      <c r="C14" s="161" t="s">
        <v>91</v>
      </c>
    </row>
    <row r="15" spans="2:3" ht="12.75">
      <c r="B15" s="201"/>
      <c r="C15" s="162"/>
    </row>
    <row r="16" spans="2:4" ht="12.75">
      <c r="B16" s="202">
        <v>3</v>
      </c>
      <c r="C16" s="158" t="s">
        <v>100</v>
      </c>
      <c r="D16" s="159" t="s">
        <v>125</v>
      </c>
    </row>
    <row r="17" spans="2:3" ht="12.75">
      <c r="B17" s="201"/>
      <c r="C17" s="161" t="s">
        <v>101</v>
      </c>
    </row>
    <row r="18" spans="2:3" ht="12.75">
      <c r="B18" s="201"/>
      <c r="C18" s="163" t="s">
        <v>131</v>
      </c>
    </row>
    <row r="19" spans="2:3" ht="12.75">
      <c r="B19" s="201"/>
      <c r="C19" s="161" t="s">
        <v>130</v>
      </c>
    </row>
    <row r="20" spans="2:3" ht="12.75">
      <c r="B20" s="201"/>
      <c r="C20" s="161" t="s">
        <v>133</v>
      </c>
    </row>
    <row r="21" spans="2:3" ht="12.75">
      <c r="B21" s="160"/>
      <c r="C21" s="161" t="s">
        <v>134</v>
      </c>
    </row>
    <row r="22" spans="2:3" ht="12.75">
      <c r="B22" s="160"/>
      <c r="C22" s="161" t="s">
        <v>135</v>
      </c>
    </row>
    <row r="23" spans="2:4" ht="12.75">
      <c r="B23" s="157" t="s">
        <v>140</v>
      </c>
      <c r="C23" s="161" t="s">
        <v>137</v>
      </c>
      <c r="D23" s="207" t="s">
        <v>139</v>
      </c>
    </row>
    <row r="24" spans="2:3" ht="12.75">
      <c r="B24" s="160"/>
      <c r="C24" s="161" t="s">
        <v>138</v>
      </c>
    </row>
    <row r="25" spans="2:4" ht="12.75">
      <c r="B25" s="157">
        <v>3.1</v>
      </c>
      <c r="C25" s="158" t="s">
        <v>183</v>
      </c>
      <c r="D25" s="228" t="s">
        <v>186</v>
      </c>
    </row>
    <row r="26" spans="3:4" ht="12.75">
      <c r="C26" s="161" t="s">
        <v>184</v>
      </c>
      <c r="D26" s="151" t="s">
        <v>187</v>
      </c>
    </row>
    <row r="27" ht="12.75">
      <c r="C27" s="158" t="s">
        <v>185</v>
      </c>
    </row>
    <row r="37" ht="12.75">
      <c r="D37" s="17" t="s">
        <v>129</v>
      </c>
    </row>
    <row r="38" ht="12.75">
      <c r="D38" s="79" t="s">
        <v>41</v>
      </c>
    </row>
    <row r="39" ht="12.75">
      <c r="D39" s="79" t="s">
        <v>66</v>
      </c>
    </row>
    <row r="40" ht="12.75">
      <c r="D40" s="209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2010-12-13T20:41:54Z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-928276553</vt:i4>
  </property>
  <property fmtid="{D5CDD505-2E9C-101B-9397-08002B2CF9AE}" pid="3" name="_NewReviewCycle">
    <vt:lpwstr/>
  </property>
</Properties>
</file>